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ghrc\Desktop\3.0机械全功能座椅(国外)\第二次\"/>
    </mc:Choice>
  </mc:AlternateContent>
  <bookViews>
    <workbookView xWindow="0" yWindow="0" windowWidth="20745" windowHeight="10200" tabRatio="862" activeTab="2"/>
  </bookViews>
  <sheets>
    <sheet name="假设条件" sheetId="34" r:id="rId1"/>
    <sheet name="现金" sheetId="36" state="hidden" r:id="rId2"/>
    <sheet name="损益表" sheetId="56" r:id="rId3"/>
    <sheet name="2026年" sheetId="61" r:id="rId4"/>
    <sheet name="2027年" sheetId="43" r:id="rId5"/>
    <sheet name="2028年" sheetId="57" r:id="rId6"/>
    <sheet name="2029年" sheetId="58" r:id="rId7"/>
    <sheet name="2030年" sheetId="59" r:id="rId8"/>
    <sheet name="项目投资" sheetId="51" r:id="rId9"/>
    <sheet name="销量" sheetId="55" r:id="rId10"/>
    <sheet name="材料成本" sheetId="53" r:id="rId11"/>
    <sheet name="其他" sheetId="54" r:id="rId12"/>
    <sheet name="标准成本" sheetId="50" r:id="rId13"/>
  </sheets>
  <externalReferences>
    <externalReference r:id="rId14"/>
    <externalReference r:id="rId15"/>
  </externalReferences>
  <definedNames>
    <definedName name="_xlnm.Print_Area" localSheetId="4">'2027年'!$A$1:$S$48</definedName>
    <definedName name="_xlnm.Print_Area" localSheetId="5">'2028年'!$A$1:$S$48</definedName>
    <definedName name="_xlnm.Print_Area" localSheetId="6">'2029年'!$A$1:$S$48</definedName>
    <definedName name="_xlnm.Print_Area" localSheetId="8">项目投资!$A$1:$C$35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50" l="1"/>
  <c r="M6" i="50"/>
  <c r="M7" i="50" l="1"/>
  <c r="H27" i="53" l="1"/>
  <c r="H28" i="53" s="1"/>
  <c r="I27" i="53"/>
  <c r="I28" i="53"/>
  <c r="J5" i="53" l="1"/>
  <c r="G6" i="59" l="1"/>
  <c r="H6" i="59"/>
  <c r="H7" i="59" s="1"/>
  <c r="I6" i="59"/>
  <c r="I7" i="59" s="1"/>
  <c r="J6" i="59"/>
  <c r="K6" i="59"/>
  <c r="K7" i="59" s="1"/>
  <c r="L6" i="59"/>
  <c r="L7" i="59" s="1"/>
  <c r="M6" i="59"/>
  <c r="N6" i="59"/>
  <c r="N7" i="59" s="1"/>
  <c r="O6" i="59"/>
  <c r="O7" i="59" s="1"/>
  <c r="P6" i="59"/>
  <c r="Q6" i="59"/>
  <c r="Q7" i="59" s="1"/>
  <c r="R6" i="59"/>
  <c r="R7" i="59" s="1"/>
  <c r="G7" i="59"/>
  <c r="J7" i="59"/>
  <c r="M7" i="59"/>
  <c r="P7" i="59"/>
  <c r="G31" i="59"/>
  <c r="H31" i="59"/>
  <c r="I31" i="59"/>
  <c r="J31" i="59"/>
  <c r="K31" i="59"/>
  <c r="L31" i="59"/>
  <c r="M31" i="59"/>
  <c r="N31" i="59"/>
  <c r="O31" i="59"/>
  <c r="P31" i="59"/>
  <c r="Q31" i="59"/>
  <c r="R31" i="59"/>
  <c r="G6" i="58"/>
  <c r="H6" i="58"/>
  <c r="I6" i="58"/>
  <c r="J6" i="58"/>
  <c r="K6" i="58"/>
  <c r="L6" i="58"/>
  <c r="M6" i="58"/>
  <c r="N6" i="58"/>
  <c r="O6" i="58"/>
  <c r="P6" i="58"/>
  <c r="Q6" i="58"/>
  <c r="R6" i="58"/>
  <c r="G7" i="58"/>
  <c r="H7" i="58"/>
  <c r="I7" i="58"/>
  <c r="J7" i="58"/>
  <c r="K7" i="58"/>
  <c r="L7" i="58"/>
  <c r="M7" i="58"/>
  <c r="N7" i="58"/>
  <c r="O7" i="58"/>
  <c r="P7" i="58"/>
  <c r="Q7" i="58"/>
  <c r="R7" i="58"/>
  <c r="G31" i="58"/>
  <c r="H31" i="58"/>
  <c r="I31" i="58"/>
  <c r="J31" i="58"/>
  <c r="K31" i="58"/>
  <c r="L31" i="58"/>
  <c r="M31" i="58"/>
  <c r="N31" i="58"/>
  <c r="O31" i="58"/>
  <c r="P31" i="58"/>
  <c r="Q31" i="58"/>
  <c r="R31" i="58"/>
  <c r="G6" i="57"/>
  <c r="H6" i="57"/>
  <c r="I6" i="57"/>
  <c r="J6" i="57"/>
  <c r="K6" i="57"/>
  <c r="L6" i="57"/>
  <c r="M6" i="57"/>
  <c r="N6" i="57"/>
  <c r="O6" i="57"/>
  <c r="P6" i="57"/>
  <c r="Q6" i="57"/>
  <c r="R6" i="57"/>
  <c r="G7" i="57"/>
  <c r="H7" i="57"/>
  <c r="I7" i="57"/>
  <c r="J7" i="57"/>
  <c r="K7" i="57"/>
  <c r="L7" i="57"/>
  <c r="M7" i="57"/>
  <c r="N7" i="57"/>
  <c r="O7" i="57"/>
  <c r="P7" i="57"/>
  <c r="Q7" i="57"/>
  <c r="R7" i="57"/>
  <c r="G31" i="57"/>
  <c r="H31" i="57"/>
  <c r="I31" i="57"/>
  <c r="J31" i="57"/>
  <c r="K31" i="57"/>
  <c r="L31" i="57"/>
  <c r="M31" i="57"/>
  <c r="N31" i="57"/>
  <c r="O31" i="57"/>
  <c r="P31" i="57"/>
  <c r="Q31" i="57"/>
  <c r="R31" i="57"/>
  <c r="G6" i="43"/>
  <c r="H6" i="43"/>
  <c r="I6" i="43"/>
  <c r="J6" i="43"/>
  <c r="K6" i="43"/>
  <c r="L6" i="43"/>
  <c r="M6" i="43"/>
  <c r="N6" i="43"/>
  <c r="O6" i="43"/>
  <c r="P6" i="43"/>
  <c r="Q6" i="43"/>
  <c r="R6" i="43"/>
  <c r="G7" i="43"/>
  <c r="H7" i="43"/>
  <c r="I7" i="43"/>
  <c r="J7" i="43"/>
  <c r="K7" i="43"/>
  <c r="L7" i="43"/>
  <c r="M7" i="43"/>
  <c r="N7" i="43"/>
  <c r="O7" i="43"/>
  <c r="P7" i="43"/>
  <c r="Q7" i="43"/>
  <c r="R7" i="43"/>
  <c r="G31" i="43"/>
  <c r="H31" i="43"/>
  <c r="I31" i="43"/>
  <c r="J31" i="43"/>
  <c r="K31" i="43"/>
  <c r="L31" i="43"/>
  <c r="M31" i="43"/>
  <c r="N31" i="43"/>
  <c r="O31" i="43"/>
  <c r="P31" i="43"/>
  <c r="Q31" i="43"/>
  <c r="R31" i="43"/>
  <c r="E31" i="61" l="1"/>
  <c r="F31" i="61"/>
  <c r="G31" i="61"/>
  <c r="H31" i="61"/>
  <c r="I31" i="61"/>
  <c r="J31" i="61"/>
  <c r="K31" i="61"/>
  <c r="L31" i="61"/>
  <c r="M31" i="61"/>
  <c r="N31" i="61"/>
  <c r="O31" i="61"/>
  <c r="P31" i="61"/>
  <c r="Q31" i="61"/>
  <c r="R31" i="61"/>
  <c r="D3" i="61"/>
  <c r="E3" i="61"/>
  <c r="F3" i="61"/>
  <c r="G3" i="61"/>
  <c r="H3" i="61"/>
  <c r="I3" i="61"/>
  <c r="J3" i="61"/>
  <c r="K3" i="61"/>
  <c r="L3" i="61"/>
  <c r="M3" i="61"/>
  <c r="N3" i="61"/>
  <c r="O3" i="61"/>
  <c r="P3" i="61"/>
  <c r="Q3" i="61"/>
  <c r="R3" i="61"/>
  <c r="D4" i="61"/>
  <c r="E4" i="61"/>
  <c r="F4" i="61"/>
  <c r="G4" i="61"/>
  <c r="H4" i="61"/>
  <c r="I4" i="61"/>
  <c r="J4" i="61"/>
  <c r="K4" i="61"/>
  <c r="L4" i="61"/>
  <c r="M4" i="61"/>
  <c r="N4" i="61"/>
  <c r="O4" i="61"/>
  <c r="P4" i="61"/>
  <c r="Q4" i="61"/>
  <c r="R4" i="61"/>
  <c r="D5" i="61"/>
  <c r="E5" i="61"/>
  <c r="F5" i="61"/>
  <c r="G5" i="61"/>
  <c r="H5" i="61"/>
  <c r="I5" i="61"/>
  <c r="J5" i="61"/>
  <c r="K5" i="61"/>
  <c r="L5" i="61"/>
  <c r="M5" i="61"/>
  <c r="N5" i="61"/>
  <c r="O5" i="61"/>
  <c r="P5" i="61"/>
  <c r="Q5" i="61"/>
  <c r="R5" i="61"/>
  <c r="D6" i="61"/>
  <c r="E6" i="61"/>
  <c r="E7" i="61" s="1"/>
  <c r="E9" i="61" s="1"/>
  <c r="E32" i="61" s="1"/>
  <c r="F6" i="61"/>
  <c r="F7" i="61" s="1"/>
  <c r="F9" i="61" s="1"/>
  <c r="F32" i="61" s="1"/>
  <c r="G6" i="61"/>
  <c r="H6" i="61"/>
  <c r="I6" i="61"/>
  <c r="I7" i="61" s="1"/>
  <c r="I9" i="61" s="1"/>
  <c r="I32" i="61" s="1"/>
  <c r="J6" i="61"/>
  <c r="K6" i="61"/>
  <c r="L6" i="61"/>
  <c r="L7" i="61" s="1"/>
  <c r="L9" i="61" s="1"/>
  <c r="L32" i="61" s="1"/>
  <c r="M6" i="61"/>
  <c r="N6" i="61"/>
  <c r="O6" i="61"/>
  <c r="O7" i="61" s="1"/>
  <c r="O9" i="61" s="1"/>
  <c r="O32" i="61" s="1"/>
  <c r="P6" i="61"/>
  <c r="Q6" i="61"/>
  <c r="R6" i="61"/>
  <c r="R7" i="61" s="1"/>
  <c r="R9" i="61" s="1"/>
  <c r="R32" i="61" s="1"/>
  <c r="G7" i="61"/>
  <c r="H7" i="61"/>
  <c r="J7" i="61"/>
  <c r="K7" i="61"/>
  <c r="M7" i="61"/>
  <c r="N7" i="61"/>
  <c r="P7" i="61"/>
  <c r="Q7" i="61"/>
  <c r="G9" i="61"/>
  <c r="G32" i="61" s="1"/>
  <c r="H9" i="61"/>
  <c r="H32" i="61" s="1"/>
  <c r="J9" i="61"/>
  <c r="J32" i="61" s="1"/>
  <c r="K9" i="61"/>
  <c r="K32" i="61" s="1"/>
  <c r="M9" i="61"/>
  <c r="M32" i="61" s="1"/>
  <c r="N9" i="61"/>
  <c r="N32" i="61" s="1"/>
  <c r="P9" i="61"/>
  <c r="P32" i="61" s="1"/>
  <c r="Q9" i="61"/>
  <c r="Q32" i="61" s="1"/>
  <c r="C196" i="50"/>
  <c r="C183" i="50"/>
  <c r="C170" i="50"/>
  <c r="C157" i="50"/>
  <c r="C144" i="50"/>
  <c r="C131" i="50"/>
  <c r="C118" i="50"/>
  <c r="C105" i="50"/>
  <c r="C92" i="50"/>
  <c r="C79" i="50"/>
  <c r="C66" i="50"/>
  <c r="I197" i="50"/>
  <c r="I195" i="50"/>
  <c r="I184" i="50"/>
  <c r="I182" i="50"/>
  <c r="I171" i="50"/>
  <c r="I169" i="50"/>
  <c r="I158" i="50"/>
  <c r="I156" i="50"/>
  <c r="I145" i="50"/>
  <c r="I143" i="50"/>
  <c r="I132" i="50"/>
  <c r="I130" i="50"/>
  <c r="I119" i="50"/>
  <c r="I117" i="50"/>
  <c r="I106" i="50"/>
  <c r="I104" i="50"/>
  <c r="I93" i="50"/>
  <c r="I91" i="50"/>
  <c r="I80" i="50"/>
  <c r="I78" i="50"/>
  <c r="I67" i="50"/>
  <c r="I54" i="50"/>
  <c r="I28" i="50"/>
  <c r="I41" i="50"/>
  <c r="I65" i="50"/>
  <c r="I52" i="50"/>
  <c r="Q5" i="59" l="1"/>
  <c r="Q5" i="43"/>
  <c r="Q5" i="58"/>
  <c r="Q5" i="57"/>
  <c r="K5" i="59"/>
  <c r="K5" i="58"/>
  <c r="K5" i="57"/>
  <c r="K5" i="43"/>
  <c r="Q4" i="59"/>
  <c r="Q4" i="58"/>
  <c r="Q4" i="57"/>
  <c r="Q4" i="43"/>
  <c r="K4" i="59"/>
  <c r="K4" i="58"/>
  <c r="K4" i="57"/>
  <c r="K4" i="43"/>
  <c r="N3" i="58"/>
  <c r="N3" i="57"/>
  <c r="N3" i="43"/>
  <c r="N3" i="59"/>
  <c r="P5" i="59"/>
  <c r="P5" i="58"/>
  <c r="P5" i="57"/>
  <c r="P5" i="43"/>
  <c r="M5" i="59"/>
  <c r="M5" i="58"/>
  <c r="M5" i="43"/>
  <c r="M5" i="57"/>
  <c r="J5" i="59"/>
  <c r="J5" i="58"/>
  <c r="J5" i="57"/>
  <c r="J5" i="43"/>
  <c r="P4" i="58"/>
  <c r="P4" i="57"/>
  <c r="P4" i="43"/>
  <c r="P4" i="59"/>
  <c r="M4" i="58"/>
  <c r="M4" i="57"/>
  <c r="M4" i="43"/>
  <c r="M4" i="59"/>
  <c r="J4" i="58"/>
  <c r="J4" i="57"/>
  <c r="J4" i="59"/>
  <c r="J4" i="43"/>
  <c r="P3" i="59"/>
  <c r="P3" i="57"/>
  <c r="P3" i="58"/>
  <c r="P3" i="43"/>
  <c r="M3" i="59"/>
  <c r="M3" i="58"/>
  <c r="M3" i="57"/>
  <c r="M3" i="43"/>
  <c r="J3" i="59"/>
  <c r="J3" i="43"/>
  <c r="J3" i="58"/>
  <c r="J3" i="57"/>
  <c r="N5" i="59"/>
  <c r="N5" i="57"/>
  <c r="N5" i="58"/>
  <c r="N5" i="43"/>
  <c r="N4" i="59"/>
  <c r="N4" i="58"/>
  <c r="N4" i="43"/>
  <c r="N4" i="57"/>
  <c r="Q3" i="58"/>
  <c r="Q3" i="57"/>
  <c r="Q3" i="43"/>
  <c r="Q3" i="59"/>
  <c r="K3" i="58"/>
  <c r="K3" i="57"/>
  <c r="K3" i="59"/>
  <c r="K3" i="43"/>
  <c r="R5" i="58"/>
  <c r="R5" i="57"/>
  <c r="R5" i="59"/>
  <c r="R5" i="43"/>
  <c r="O5" i="58"/>
  <c r="O5" i="57"/>
  <c r="O5" i="43"/>
  <c r="O5" i="59"/>
  <c r="L5" i="58"/>
  <c r="L5" i="57"/>
  <c r="L5" i="43"/>
  <c r="L5" i="59"/>
  <c r="I5" i="58"/>
  <c r="I5" i="57"/>
  <c r="I5" i="59"/>
  <c r="I5" i="43"/>
  <c r="R4" i="59"/>
  <c r="R4" i="57"/>
  <c r="R4" i="43"/>
  <c r="R4" i="58"/>
  <c r="O4" i="59"/>
  <c r="O4" i="57"/>
  <c r="O4" i="58"/>
  <c r="O4" i="43"/>
  <c r="L4" i="59"/>
  <c r="L4" i="58"/>
  <c r="L4" i="57"/>
  <c r="L4" i="43"/>
  <c r="I4" i="59"/>
  <c r="I4" i="58"/>
  <c r="I4" i="43"/>
  <c r="I4" i="57"/>
  <c r="R3" i="59"/>
  <c r="R3" i="58"/>
  <c r="R3" i="57"/>
  <c r="R3" i="43"/>
  <c r="O3" i="59"/>
  <c r="O3" i="58"/>
  <c r="O3" i="43"/>
  <c r="O3" i="57"/>
  <c r="L3" i="59"/>
  <c r="L3" i="58"/>
  <c r="L3" i="57"/>
  <c r="L3" i="43"/>
  <c r="I3" i="59"/>
  <c r="I3" i="58"/>
  <c r="I3" i="57"/>
  <c r="I3" i="43"/>
  <c r="H5" i="57"/>
  <c r="H5" i="43"/>
  <c r="H5" i="59"/>
  <c r="H5" i="58"/>
  <c r="H4" i="57"/>
  <c r="H4" i="43"/>
  <c r="H4" i="59"/>
  <c r="H4" i="58"/>
  <c r="H3" i="57"/>
  <c r="H3" i="43"/>
  <c r="H3" i="59"/>
  <c r="H3" i="58"/>
  <c r="G5" i="59"/>
  <c r="G5" i="58"/>
  <c r="G5" i="57"/>
  <c r="G5" i="43"/>
  <c r="G4" i="59"/>
  <c r="G4" i="58"/>
  <c r="G4" i="57"/>
  <c r="G4" i="43"/>
  <c r="G3" i="59"/>
  <c r="G3" i="58"/>
  <c r="G3" i="57"/>
  <c r="G3" i="43"/>
  <c r="E24" i="53" l="1"/>
  <c r="D18" i="55" s="1"/>
  <c r="F24" i="53"/>
  <c r="G24" i="53"/>
  <c r="H24" i="53"/>
  <c r="G33" i="61" s="1"/>
  <c r="I24" i="53"/>
  <c r="H33" i="61" s="1"/>
  <c r="J24" i="53"/>
  <c r="I33" i="61" s="1"/>
  <c r="K24" i="53"/>
  <c r="J33" i="61" s="1"/>
  <c r="L24" i="53"/>
  <c r="K33" i="61" s="1"/>
  <c r="M24" i="53"/>
  <c r="L33" i="61" s="1"/>
  <c r="N24" i="53"/>
  <c r="M33" i="61" s="1"/>
  <c r="O24" i="53"/>
  <c r="N33" i="61" s="1"/>
  <c r="P24" i="53"/>
  <c r="O33" i="61" s="1"/>
  <c r="Q24" i="53"/>
  <c r="P33" i="61" s="1"/>
  <c r="R24" i="53"/>
  <c r="Q33" i="61" s="1"/>
  <c r="S24" i="53"/>
  <c r="R33" i="61" s="1"/>
  <c r="K25" i="53"/>
  <c r="J33" i="43" s="1"/>
  <c r="L25" i="53"/>
  <c r="K33" i="43" s="1"/>
  <c r="N25" i="53"/>
  <c r="K26" i="53"/>
  <c r="J33" i="57" s="1"/>
  <c r="G16" i="55"/>
  <c r="H16" i="55"/>
  <c r="I16" i="55"/>
  <c r="J16" i="55"/>
  <c r="K16" i="55"/>
  <c r="L16" i="55"/>
  <c r="M16" i="55"/>
  <c r="N16" i="55"/>
  <c r="O16" i="55"/>
  <c r="P16" i="55"/>
  <c r="Q16" i="55"/>
  <c r="R16" i="55"/>
  <c r="J18" i="55"/>
  <c r="J19" i="55" s="1"/>
  <c r="J20" i="55" s="1"/>
  <c r="K18" i="55"/>
  <c r="K19" i="55" s="1"/>
  <c r="K20" i="55" s="1"/>
  <c r="H4" i="53"/>
  <c r="I4" i="53"/>
  <c r="J4" i="53"/>
  <c r="K4" i="53"/>
  <c r="L4" i="53"/>
  <c r="M4" i="53"/>
  <c r="N4" i="53"/>
  <c r="O4" i="53"/>
  <c r="P4" i="53"/>
  <c r="Q4" i="53"/>
  <c r="R4" i="53"/>
  <c r="S4" i="53"/>
  <c r="H5" i="53"/>
  <c r="I5" i="53"/>
  <c r="K5" i="53"/>
  <c r="L5" i="53"/>
  <c r="M5" i="53"/>
  <c r="N5" i="53"/>
  <c r="O5" i="53"/>
  <c r="P5" i="53"/>
  <c r="Q5" i="53"/>
  <c r="R5" i="53"/>
  <c r="S5" i="53"/>
  <c r="J7" i="50"/>
  <c r="K7" i="50"/>
  <c r="D8" i="55" l="1"/>
  <c r="I15" i="50" s="1"/>
  <c r="E25" i="53"/>
  <c r="E26" i="53" s="1"/>
  <c r="E27" i="53" s="1"/>
  <c r="E28" i="53" s="1"/>
  <c r="D33" i="61"/>
  <c r="D10" i="61" s="1"/>
  <c r="E33" i="61"/>
  <c r="E34" i="61" s="1"/>
  <c r="E18" i="55"/>
  <c r="F33" i="61"/>
  <c r="F18" i="55"/>
  <c r="P18" i="55"/>
  <c r="P19" i="55" s="1"/>
  <c r="P20" i="55" s="1"/>
  <c r="R25" i="53"/>
  <c r="M18" i="55"/>
  <c r="M19" i="55" s="1"/>
  <c r="M20" i="55" s="1"/>
  <c r="N18" i="55"/>
  <c r="N19" i="55" s="1"/>
  <c r="N20" i="55" s="1"/>
  <c r="Q25" i="53"/>
  <c r="P33" i="43" s="1"/>
  <c r="Q18" i="55"/>
  <c r="Q19" i="55" s="1"/>
  <c r="Q20" i="55" s="1"/>
  <c r="R26" i="53"/>
  <c r="Q33" i="43"/>
  <c r="N26" i="53"/>
  <c r="M33" i="43"/>
  <c r="K10" i="43"/>
  <c r="J10" i="43"/>
  <c r="K34" i="61"/>
  <c r="K10" i="61"/>
  <c r="J10" i="57"/>
  <c r="L34" i="61"/>
  <c r="L10" i="61"/>
  <c r="L18" i="55"/>
  <c r="L19" i="55" s="1"/>
  <c r="L20" i="55" s="1"/>
  <c r="K27" i="53"/>
  <c r="L26" i="53"/>
  <c r="M25" i="53"/>
  <c r="J34" i="61"/>
  <c r="J10" i="61"/>
  <c r="I18" i="55"/>
  <c r="I19" i="55" s="1"/>
  <c r="I20" i="55" s="1"/>
  <c r="J25" i="53"/>
  <c r="I34" i="61"/>
  <c r="I10" i="61"/>
  <c r="R18" i="55"/>
  <c r="R19" i="55" s="1"/>
  <c r="R20" i="55" s="1"/>
  <c r="S25" i="53"/>
  <c r="R34" i="61"/>
  <c r="R10" i="61"/>
  <c r="Q34" i="61"/>
  <c r="Q10" i="61"/>
  <c r="P34" i="61"/>
  <c r="P10" i="61"/>
  <c r="O18" i="55"/>
  <c r="O19" i="55" s="1"/>
  <c r="O20" i="55" s="1"/>
  <c r="O34" i="61"/>
  <c r="O10" i="61"/>
  <c r="P25" i="53"/>
  <c r="N34" i="61"/>
  <c r="N10" i="61"/>
  <c r="O25" i="53"/>
  <c r="M34" i="61"/>
  <c r="M10" i="61"/>
  <c r="I25" i="53"/>
  <c r="H10" i="61"/>
  <c r="H34" i="61"/>
  <c r="H18" i="55"/>
  <c r="H19" i="55" s="1"/>
  <c r="H20" i="55" s="1"/>
  <c r="G18" i="55"/>
  <c r="G19" i="55" s="1"/>
  <c r="G20" i="55" s="1"/>
  <c r="H25" i="53"/>
  <c r="G34" i="61"/>
  <c r="G10" i="61"/>
  <c r="F34" i="61"/>
  <c r="F10" i="61"/>
  <c r="G25" i="53"/>
  <c r="G26" i="53" s="1"/>
  <c r="G27" i="53" s="1"/>
  <c r="G28" i="53" s="1"/>
  <c r="E10" i="61"/>
  <c r="H7" i="50"/>
  <c r="L7" i="50"/>
  <c r="D7" i="61" l="1"/>
  <c r="D9" i="61" s="1"/>
  <c r="D32" i="61" s="1"/>
  <c r="D34" i="61" s="1"/>
  <c r="D31" i="61"/>
  <c r="Q26" i="53"/>
  <c r="M10" i="43"/>
  <c r="Q27" i="53"/>
  <c r="P33" i="57"/>
  <c r="I26" i="53"/>
  <c r="H33" i="43"/>
  <c r="O26" i="53"/>
  <c r="N33" i="43"/>
  <c r="P26" i="53"/>
  <c r="O33" i="43"/>
  <c r="N27" i="53"/>
  <c r="M33" i="57"/>
  <c r="Q10" i="43"/>
  <c r="H26" i="53"/>
  <c r="G33" i="43"/>
  <c r="S26" i="53"/>
  <c r="R33" i="43"/>
  <c r="P10" i="43"/>
  <c r="R27" i="53"/>
  <c r="Q33" i="57"/>
  <c r="J33" i="58"/>
  <c r="K28" i="53"/>
  <c r="J33" i="59" s="1"/>
  <c r="L33" i="43"/>
  <c r="M26" i="53"/>
  <c r="K33" i="57"/>
  <c r="L27" i="53"/>
  <c r="I33" i="43"/>
  <c r="J26" i="53"/>
  <c r="F33" i="59"/>
  <c r="F33" i="58"/>
  <c r="F33" i="57"/>
  <c r="R10" i="43" l="1"/>
  <c r="G33" i="57"/>
  <c r="P27" i="53"/>
  <c r="O33" i="57"/>
  <c r="H10" i="43"/>
  <c r="Q28" i="53"/>
  <c r="P33" i="59" s="1"/>
  <c r="P33" i="58"/>
  <c r="S27" i="53"/>
  <c r="R33" i="57"/>
  <c r="N28" i="53"/>
  <c r="M33" i="59" s="1"/>
  <c r="M33" i="58"/>
  <c r="N10" i="43"/>
  <c r="H33" i="57"/>
  <c r="R28" i="53"/>
  <c r="Q33" i="59" s="1"/>
  <c r="Q33" i="58"/>
  <c r="M10" i="57"/>
  <c r="Q10" i="57"/>
  <c r="G10" i="43"/>
  <c r="O10" i="43"/>
  <c r="O27" i="53"/>
  <c r="N33" i="57"/>
  <c r="P10" i="57"/>
  <c r="J10" i="59"/>
  <c r="K33" i="58"/>
  <c r="L28" i="53"/>
  <c r="K33" i="59" s="1"/>
  <c r="L10" i="43"/>
  <c r="K10" i="57"/>
  <c r="L33" i="57"/>
  <c r="M27" i="53"/>
  <c r="J10" i="58"/>
  <c r="I33" i="57"/>
  <c r="J27" i="53"/>
  <c r="I10" i="43"/>
  <c r="E31" i="59"/>
  <c r="F31" i="59"/>
  <c r="E31" i="58"/>
  <c r="F31" i="58"/>
  <c r="E31" i="57"/>
  <c r="F31" i="57"/>
  <c r="D31" i="43"/>
  <c r="E31" i="43"/>
  <c r="F31" i="43"/>
  <c r="S8" i="61"/>
  <c r="I39" i="50"/>
  <c r="I26" i="50"/>
  <c r="E6" i="59"/>
  <c r="E7" i="59" s="1"/>
  <c r="F6" i="59"/>
  <c r="F7" i="59" s="1"/>
  <c r="E6" i="58"/>
  <c r="E7" i="58" s="1"/>
  <c r="F6" i="58"/>
  <c r="F7" i="58" s="1"/>
  <c r="E6" i="57"/>
  <c r="E7" i="57" s="1"/>
  <c r="F6" i="57"/>
  <c r="F7" i="57" s="1"/>
  <c r="E6" i="43"/>
  <c r="E7" i="43" s="1"/>
  <c r="F6" i="43"/>
  <c r="F7" i="43" s="1"/>
  <c r="F4" i="53"/>
  <c r="G4" i="53"/>
  <c r="F5" i="53"/>
  <c r="G5" i="53"/>
  <c r="E3" i="59"/>
  <c r="F3" i="59"/>
  <c r="E4" i="59"/>
  <c r="F4" i="57"/>
  <c r="E5" i="59"/>
  <c r="F5" i="59"/>
  <c r="N10" i="57" l="1"/>
  <c r="H10" i="57"/>
  <c r="R10" i="57"/>
  <c r="P10" i="59"/>
  <c r="O10" i="57"/>
  <c r="G33" i="59"/>
  <c r="G33" i="58"/>
  <c r="O28" i="53"/>
  <c r="N33" i="59" s="1"/>
  <c r="N33" i="58"/>
  <c r="Q10" i="58"/>
  <c r="H33" i="59"/>
  <c r="H33" i="58"/>
  <c r="M10" i="58"/>
  <c r="S28" i="53"/>
  <c r="R33" i="59" s="1"/>
  <c r="R33" i="58"/>
  <c r="P28" i="53"/>
  <c r="O33" i="59" s="1"/>
  <c r="O33" i="58"/>
  <c r="Q10" i="59"/>
  <c r="M10" i="59"/>
  <c r="P10" i="58"/>
  <c r="G10" i="57"/>
  <c r="L10" i="57"/>
  <c r="K10" i="58"/>
  <c r="L33" i="58"/>
  <c r="M28" i="53"/>
  <c r="L33" i="59" s="1"/>
  <c r="K10" i="59"/>
  <c r="I33" i="58"/>
  <c r="J28" i="53"/>
  <c r="I33" i="59" s="1"/>
  <c r="I10" i="57"/>
  <c r="F4" i="43"/>
  <c r="F4" i="59"/>
  <c r="F4" i="58"/>
  <c r="F5" i="43"/>
  <c r="F5" i="57"/>
  <c r="F5" i="58"/>
  <c r="F3" i="43"/>
  <c r="F3" i="57"/>
  <c r="F3" i="58"/>
  <c r="E5" i="43"/>
  <c r="E4" i="43"/>
  <c r="E3" i="43"/>
  <c r="E5" i="57"/>
  <c r="E4" i="57"/>
  <c r="E3" i="57"/>
  <c r="E5" i="58"/>
  <c r="E4" i="58"/>
  <c r="E3" i="58"/>
  <c r="D28" i="56"/>
  <c r="E28" i="56"/>
  <c r="F28" i="56"/>
  <c r="G28" i="56"/>
  <c r="C28" i="56"/>
  <c r="D4" i="53"/>
  <c r="E4" i="53"/>
  <c r="D5" i="53"/>
  <c r="E5" i="53"/>
  <c r="C2" i="59"/>
  <c r="C2" i="58"/>
  <c r="C2" i="57"/>
  <c r="C2" i="43"/>
  <c r="C3" i="61"/>
  <c r="D3" i="59"/>
  <c r="C4" i="61"/>
  <c r="C5" i="61"/>
  <c r="D5" i="59"/>
  <c r="R10" i="58" l="1"/>
  <c r="O10" i="58"/>
  <c r="R10" i="59"/>
  <c r="H10" i="58"/>
  <c r="G10" i="58"/>
  <c r="O10" i="59"/>
  <c r="H10" i="59"/>
  <c r="N10" i="58"/>
  <c r="G10" i="59"/>
  <c r="N10" i="59"/>
  <c r="L10" i="58"/>
  <c r="L10" i="59"/>
  <c r="I10" i="59"/>
  <c r="I10" i="58"/>
  <c r="C3" i="57"/>
  <c r="C3" i="59"/>
  <c r="C3" i="43"/>
  <c r="C3" i="58"/>
  <c r="D3" i="58"/>
  <c r="D3" i="57"/>
  <c r="D3" i="43"/>
  <c r="D4" i="43"/>
  <c r="D4" i="57"/>
  <c r="D4" i="58"/>
  <c r="D4" i="59"/>
  <c r="D5" i="57"/>
  <c r="D5" i="58"/>
  <c r="D5" i="43"/>
  <c r="C5" i="43"/>
  <c r="C5" i="59"/>
  <c r="C5" i="58"/>
  <c r="C5" i="57"/>
  <c r="C4" i="43"/>
  <c r="C4" i="57"/>
  <c r="C4" i="58"/>
  <c r="C4" i="59"/>
  <c r="C53" i="50"/>
  <c r="C40" i="50"/>
  <c r="C27" i="50"/>
  <c r="C14" i="50"/>
  <c r="H55" i="50"/>
  <c r="H56" i="50"/>
  <c r="H57" i="50"/>
  <c r="H59" i="50"/>
  <c r="H60" i="50"/>
  <c r="H61" i="50"/>
  <c r="H62" i="50"/>
  <c r="H42" i="50"/>
  <c r="E42" i="50" s="1"/>
  <c r="H43" i="50"/>
  <c r="H44" i="50"/>
  <c r="H46" i="50"/>
  <c r="H47" i="50"/>
  <c r="H48" i="50"/>
  <c r="H49" i="50"/>
  <c r="H29" i="50"/>
  <c r="H30" i="50"/>
  <c r="H31" i="50"/>
  <c r="H33" i="50"/>
  <c r="H34" i="50"/>
  <c r="H35" i="50"/>
  <c r="H36" i="50"/>
  <c r="H16" i="50"/>
  <c r="H17" i="50"/>
  <c r="H18" i="50"/>
  <c r="H20" i="50"/>
  <c r="H21" i="50"/>
  <c r="H22" i="50"/>
  <c r="H23" i="50"/>
  <c r="I13" i="50"/>
  <c r="H58" i="50"/>
  <c r="I1" i="50"/>
  <c r="D24" i="53"/>
  <c r="D25" i="53" s="1"/>
  <c r="D26" i="53" s="1"/>
  <c r="D27" i="53" s="1"/>
  <c r="D28" i="53" s="1"/>
  <c r="F19" i="55"/>
  <c r="F20" i="55" s="1"/>
  <c r="F16" i="55"/>
  <c r="E16" i="55"/>
  <c r="D16" i="55"/>
  <c r="C16" i="55"/>
  <c r="S15" i="55"/>
  <c r="S14" i="55"/>
  <c r="S13" i="55"/>
  <c r="S12" i="55"/>
  <c r="S11" i="55"/>
  <c r="S10" i="55"/>
  <c r="S9" i="55"/>
  <c r="U7" i="55"/>
  <c r="U8" i="55" s="1"/>
  <c r="G22" i="51"/>
  <c r="B9" i="51"/>
  <c r="B27" i="51" s="1"/>
  <c r="D27" i="51" s="1"/>
  <c r="B8" i="51"/>
  <c r="B5" i="51"/>
  <c r="B7" i="51" s="1"/>
  <c r="D31" i="59"/>
  <c r="D6" i="59"/>
  <c r="C6" i="59"/>
  <c r="D31" i="58"/>
  <c r="D6" i="58"/>
  <c r="C6" i="58"/>
  <c r="D31" i="57"/>
  <c r="D6" i="57"/>
  <c r="C6" i="57"/>
  <c r="D6" i="43"/>
  <c r="C6" i="43"/>
  <c r="C6" i="61"/>
  <c r="H61" i="56"/>
  <c r="D61" i="56"/>
  <c r="H16" i="56"/>
  <c r="C6" i="56"/>
  <c r="R23" i="36"/>
  <c r="M16" i="36"/>
  <c r="L15" i="36"/>
  <c r="K15" i="36"/>
  <c r="J15" i="36"/>
  <c r="I15" i="36"/>
  <c r="H15" i="36"/>
  <c r="G15" i="36"/>
  <c r="F15" i="36"/>
  <c r="E15" i="36"/>
  <c r="D15" i="36"/>
  <c r="C15" i="36"/>
  <c r="L14" i="36"/>
  <c r="K14" i="36"/>
  <c r="J14" i="36"/>
  <c r="I14" i="36"/>
  <c r="H14" i="36"/>
  <c r="G14" i="36"/>
  <c r="F14" i="36"/>
  <c r="E14" i="36"/>
  <c r="D14" i="36"/>
  <c r="C14" i="36"/>
  <c r="L13" i="36"/>
  <c r="K13" i="36"/>
  <c r="J13" i="36"/>
  <c r="I13" i="36"/>
  <c r="H13" i="36"/>
  <c r="G13" i="36"/>
  <c r="F13" i="36"/>
  <c r="E13" i="36"/>
  <c r="D13" i="36"/>
  <c r="C13" i="36"/>
  <c r="L12" i="36"/>
  <c r="K12" i="36"/>
  <c r="J12" i="36"/>
  <c r="I12" i="36"/>
  <c r="H12" i="36"/>
  <c r="G12" i="36"/>
  <c r="F12" i="36"/>
  <c r="E12" i="36"/>
  <c r="D12" i="36"/>
  <c r="C12" i="36"/>
  <c r="L11" i="36"/>
  <c r="K11" i="36"/>
  <c r="J11" i="36"/>
  <c r="I11" i="36"/>
  <c r="H11" i="36"/>
  <c r="G11" i="36"/>
  <c r="F11" i="36"/>
  <c r="E11" i="36"/>
  <c r="D11" i="36"/>
  <c r="C11" i="36"/>
  <c r="M9" i="36"/>
  <c r="M8" i="36"/>
  <c r="L7" i="36"/>
  <c r="K7" i="36"/>
  <c r="J7" i="36"/>
  <c r="I7" i="36"/>
  <c r="H7" i="36"/>
  <c r="G7" i="36"/>
  <c r="F7" i="36"/>
  <c r="E7" i="36"/>
  <c r="M6" i="36"/>
  <c r="L6" i="36"/>
  <c r="K6" i="36"/>
  <c r="J6" i="36"/>
  <c r="I6" i="36"/>
  <c r="H6" i="36"/>
  <c r="G6" i="36"/>
  <c r="F6" i="36"/>
  <c r="E6" i="36"/>
  <c r="L5" i="36"/>
  <c r="K5" i="36"/>
  <c r="J5" i="36"/>
  <c r="I5" i="36"/>
  <c r="H5" i="36"/>
  <c r="G5" i="36"/>
  <c r="F5" i="36"/>
  <c r="E5" i="36"/>
  <c r="D5" i="36"/>
  <c r="C5" i="36"/>
  <c r="L4" i="36"/>
  <c r="K4" i="36"/>
  <c r="J4" i="36"/>
  <c r="I4" i="36"/>
  <c r="H4" i="36"/>
  <c r="G4" i="36"/>
  <c r="F4" i="36"/>
  <c r="E4" i="36"/>
  <c r="D4" i="36"/>
  <c r="C8" i="55" l="1"/>
  <c r="H75" i="50"/>
  <c r="E62" i="50"/>
  <c r="G47" i="61" s="1"/>
  <c r="H72" i="50"/>
  <c r="E59" i="50"/>
  <c r="G45" i="61" s="1"/>
  <c r="H73" i="50"/>
  <c r="E60" i="50"/>
  <c r="G44" i="61" s="1"/>
  <c r="E56" i="50"/>
  <c r="G43" i="61" s="1"/>
  <c r="H69" i="50"/>
  <c r="H68" i="50"/>
  <c r="E55" i="50"/>
  <c r="G36" i="61" s="1"/>
  <c r="H71" i="50"/>
  <c r="E58" i="50"/>
  <c r="H70" i="50"/>
  <c r="E57" i="50"/>
  <c r="G37" i="61" s="1"/>
  <c r="H74" i="50"/>
  <c r="E61" i="50"/>
  <c r="G38" i="61" s="1"/>
  <c r="C18" i="55"/>
  <c r="B26" i="51"/>
  <c r="D26" i="51" s="1"/>
  <c r="S18" i="61" s="1"/>
  <c r="S21" i="61"/>
  <c r="S6" i="43"/>
  <c r="S6" i="57"/>
  <c r="E33" i="57"/>
  <c r="D33" i="57"/>
  <c r="D10" i="57" s="1"/>
  <c r="J10" i="36"/>
  <c r="J17" i="36" s="1"/>
  <c r="J19" i="36" s="1"/>
  <c r="M15" i="36"/>
  <c r="D10" i="36"/>
  <c r="D17" i="36" s="1"/>
  <c r="D19" i="36" s="1"/>
  <c r="G10" i="36"/>
  <c r="M12" i="36"/>
  <c r="S6" i="59"/>
  <c r="V7" i="55"/>
  <c r="S6" i="61"/>
  <c r="S6" i="58"/>
  <c r="D33" i="43"/>
  <c r="D10" i="43" s="1"/>
  <c r="E30" i="50"/>
  <c r="E43" i="61" s="1"/>
  <c r="E31" i="50"/>
  <c r="E37" i="61" s="1"/>
  <c r="E12" i="61" s="1"/>
  <c r="E34" i="50"/>
  <c r="E44" i="61" s="1"/>
  <c r="E19" i="61" s="1"/>
  <c r="E29" i="50"/>
  <c r="E36" i="61" s="1"/>
  <c r="E11" i="61" s="1"/>
  <c r="E35" i="50"/>
  <c r="E38" i="61" s="1"/>
  <c r="E13" i="61" s="1"/>
  <c r="E33" i="50"/>
  <c r="E45" i="61" s="1"/>
  <c r="E20" i="61" s="1"/>
  <c r="E36" i="50"/>
  <c r="E47" i="61" s="1"/>
  <c r="E22" i="61" s="1"/>
  <c r="E48" i="50"/>
  <c r="F38" i="61" s="1"/>
  <c r="F13" i="61" s="1"/>
  <c r="E43" i="50"/>
  <c r="F43" i="61" s="1"/>
  <c r="E47" i="50"/>
  <c r="F44" i="61" s="1"/>
  <c r="F19" i="61" s="1"/>
  <c r="E44" i="50"/>
  <c r="F37" i="61" s="1"/>
  <c r="F12" i="61" s="1"/>
  <c r="E49" i="50"/>
  <c r="F47" i="61" s="1"/>
  <c r="F22" i="61" s="1"/>
  <c r="F36" i="61"/>
  <c r="F11" i="61" s="1"/>
  <c r="E46" i="50"/>
  <c r="F45" i="61" s="1"/>
  <c r="F20" i="61" s="1"/>
  <c r="U9" i="55"/>
  <c r="V8" i="55"/>
  <c r="E10" i="36"/>
  <c r="E17" i="36" s="1"/>
  <c r="E19" i="36" s="1"/>
  <c r="H10" i="36"/>
  <c r="H17" i="36" s="1"/>
  <c r="H19" i="36" s="1"/>
  <c r="M11" i="36"/>
  <c r="F10" i="36"/>
  <c r="F17" i="36" s="1"/>
  <c r="F19" i="36" s="1"/>
  <c r="I10" i="36"/>
  <c r="I17" i="36" s="1"/>
  <c r="I19" i="36" s="1"/>
  <c r="L10" i="36"/>
  <c r="L17" i="36" s="1"/>
  <c r="L19" i="36" s="1"/>
  <c r="M13" i="36"/>
  <c r="E20" i="50"/>
  <c r="D45" i="61" s="1"/>
  <c r="D20" i="61" s="1"/>
  <c r="H45" i="50"/>
  <c r="E45" i="50" s="1"/>
  <c r="H32" i="50"/>
  <c r="E32" i="50" s="1"/>
  <c r="H19" i="50"/>
  <c r="E19" i="50" s="1"/>
  <c r="E22" i="50"/>
  <c r="D38" i="61" s="1"/>
  <c r="D13" i="61" s="1"/>
  <c r="S16" i="55"/>
  <c r="J22" i="51" s="1"/>
  <c r="C33" i="61"/>
  <c r="C10" i="61" s="1"/>
  <c r="M14" i="36"/>
  <c r="G17" i="36"/>
  <c r="G19" i="36" s="1"/>
  <c r="M7" i="36"/>
  <c r="K10" i="36"/>
  <c r="K17" i="36" s="1"/>
  <c r="K19" i="36" s="1"/>
  <c r="M5" i="36"/>
  <c r="C10" i="36"/>
  <c r="E19" i="55"/>
  <c r="E20" i="55" s="1"/>
  <c r="E16" i="50"/>
  <c r="E21" i="50"/>
  <c r="E17" i="50"/>
  <c r="E18" i="50"/>
  <c r="D37" i="61" s="1"/>
  <c r="D12" i="61" s="1"/>
  <c r="E23" i="50"/>
  <c r="C57" i="56"/>
  <c r="B10" i="51"/>
  <c r="C7" i="61"/>
  <c r="D7" i="59"/>
  <c r="C7" i="58"/>
  <c r="D7" i="58"/>
  <c r="D7" i="57"/>
  <c r="D7" i="43"/>
  <c r="C31" i="59" l="1"/>
  <c r="C31" i="58"/>
  <c r="I3" i="50"/>
  <c r="S8" i="55"/>
  <c r="C31" i="57"/>
  <c r="C31" i="43"/>
  <c r="C31" i="61"/>
  <c r="C7" i="43"/>
  <c r="S7" i="43" s="1"/>
  <c r="D5" i="56" s="1"/>
  <c r="C7" i="57"/>
  <c r="S7" i="57" s="1"/>
  <c r="E5" i="56" s="1"/>
  <c r="C7" i="59"/>
  <c r="S7" i="59" s="1"/>
  <c r="G5" i="56" s="1"/>
  <c r="C19" i="55"/>
  <c r="C20" i="55" s="1"/>
  <c r="C33" i="43"/>
  <c r="C10" i="43" s="1"/>
  <c r="L26" i="51"/>
  <c r="C58" i="56"/>
  <c r="G47" i="43"/>
  <c r="G22" i="43" s="1"/>
  <c r="G47" i="57"/>
  <c r="G22" i="57" s="1"/>
  <c r="G22" i="61"/>
  <c r="G47" i="59"/>
  <c r="G22" i="59" s="1"/>
  <c r="G47" i="58"/>
  <c r="G22" i="58" s="1"/>
  <c r="H88" i="50"/>
  <c r="E75" i="50"/>
  <c r="H47" i="61" s="1"/>
  <c r="G45" i="43"/>
  <c r="G20" i="43" s="1"/>
  <c r="G45" i="59"/>
  <c r="G20" i="59" s="1"/>
  <c r="G45" i="58"/>
  <c r="G20" i="58" s="1"/>
  <c r="G20" i="61"/>
  <c r="G45" i="57"/>
  <c r="G20" i="57" s="1"/>
  <c r="H86" i="50"/>
  <c r="E73" i="50"/>
  <c r="H44" i="61" s="1"/>
  <c r="G44" i="58"/>
  <c r="G19" i="58" s="1"/>
  <c r="G19" i="61"/>
  <c r="G44" i="57"/>
  <c r="G19" i="57" s="1"/>
  <c r="G44" i="43"/>
  <c r="G19" i="43" s="1"/>
  <c r="G44" i="59"/>
  <c r="G19" i="59" s="1"/>
  <c r="H85" i="50"/>
  <c r="E72" i="50"/>
  <c r="H45" i="61" s="1"/>
  <c r="H81" i="50"/>
  <c r="E68" i="50"/>
  <c r="H36" i="61" s="1"/>
  <c r="G37" i="59"/>
  <c r="G12" i="59" s="1"/>
  <c r="G37" i="43"/>
  <c r="G12" i="43" s="1"/>
  <c r="G37" i="57"/>
  <c r="G12" i="57" s="1"/>
  <c r="G37" i="58"/>
  <c r="G12" i="58" s="1"/>
  <c r="G12" i="61"/>
  <c r="H84" i="50"/>
  <c r="E71" i="50"/>
  <c r="H82" i="50"/>
  <c r="E69" i="50"/>
  <c r="H43" i="61" s="1"/>
  <c r="H83" i="50"/>
  <c r="E70" i="50"/>
  <c r="H37" i="61" s="1"/>
  <c r="G36" i="57"/>
  <c r="G11" i="57" s="1"/>
  <c r="G11" i="61"/>
  <c r="G36" i="43"/>
  <c r="G11" i="43" s="1"/>
  <c r="G36" i="58"/>
  <c r="G11" i="58" s="1"/>
  <c r="G36" i="59"/>
  <c r="G11" i="59" s="1"/>
  <c r="G43" i="58"/>
  <c r="G43" i="59"/>
  <c r="G43" i="43"/>
  <c r="G43" i="57"/>
  <c r="G38" i="58"/>
  <c r="G13" i="58" s="1"/>
  <c r="G14" i="58" s="1"/>
  <c r="G38" i="59"/>
  <c r="G13" i="59" s="1"/>
  <c r="G14" i="59" s="1"/>
  <c r="G38" i="57"/>
  <c r="G13" i="57" s="1"/>
  <c r="G14" i="57" s="1"/>
  <c r="G13" i="61"/>
  <c r="G14" i="61" s="1"/>
  <c r="G15" i="61" s="1"/>
  <c r="G16" i="61" s="1"/>
  <c r="G38" i="43"/>
  <c r="G13" i="43" s="1"/>
  <c r="G14" i="43" s="1"/>
  <c r="G40" i="61"/>
  <c r="H87" i="50"/>
  <c r="E74" i="50"/>
  <c r="H38" i="61" s="1"/>
  <c r="C33" i="57"/>
  <c r="C10" i="57" s="1"/>
  <c r="C18" i="61"/>
  <c r="F18" i="61"/>
  <c r="F17" i="61" s="1"/>
  <c r="E18" i="61"/>
  <c r="E17" i="61" s="1"/>
  <c r="D18" i="61"/>
  <c r="D19" i="55"/>
  <c r="D20" i="55" s="1"/>
  <c r="H8" i="43"/>
  <c r="H9" i="43" s="1"/>
  <c r="K8" i="43"/>
  <c r="K9" i="43" s="1"/>
  <c r="N8" i="43"/>
  <c r="N9" i="43" s="1"/>
  <c r="Q8" i="43"/>
  <c r="Q9" i="43" s="1"/>
  <c r="J8" i="43"/>
  <c r="J9" i="43" s="1"/>
  <c r="P8" i="43"/>
  <c r="P9" i="43" s="1"/>
  <c r="I8" i="43"/>
  <c r="I9" i="43" s="1"/>
  <c r="L8" i="43"/>
  <c r="L9" i="43" s="1"/>
  <c r="O8" i="43"/>
  <c r="O9" i="43" s="1"/>
  <c r="R8" i="43"/>
  <c r="R9" i="43" s="1"/>
  <c r="G8" i="43"/>
  <c r="G9" i="43" s="1"/>
  <c r="M8" i="43"/>
  <c r="M9" i="43" s="1"/>
  <c r="H8" i="57"/>
  <c r="H9" i="57" s="1"/>
  <c r="K8" i="57"/>
  <c r="K9" i="57" s="1"/>
  <c r="N8" i="57"/>
  <c r="N9" i="57" s="1"/>
  <c r="Q8" i="57"/>
  <c r="Q9" i="57" s="1"/>
  <c r="J8" i="57"/>
  <c r="J9" i="57" s="1"/>
  <c r="P8" i="57"/>
  <c r="P9" i="57" s="1"/>
  <c r="I8" i="57"/>
  <c r="I9" i="57" s="1"/>
  <c r="L8" i="57"/>
  <c r="L9" i="57" s="1"/>
  <c r="O8" i="57"/>
  <c r="O9" i="57" s="1"/>
  <c r="R8" i="57"/>
  <c r="R9" i="57" s="1"/>
  <c r="G8" i="57"/>
  <c r="G9" i="57" s="1"/>
  <c r="M8" i="57"/>
  <c r="M9" i="57" s="1"/>
  <c r="F14" i="61"/>
  <c r="F15" i="61" s="1"/>
  <c r="F16" i="61" s="1"/>
  <c r="E14" i="61"/>
  <c r="E15" i="61" s="1"/>
  <c r="E16" i="61" s="1"/>
  <c r="G4" i="56"/>
  <c r="F4" i="56"/>
  <c r="E4" i="56"/>
  <c r="D4" i="56"/>
  <c r="C4" i="56"/>
  <c r="G18" i="61"/>
  <c r="G17" i="61" s="1"/>
  <c r="J18" i="61"/>
  <c r="M18" i="61"/>
  <c r="P18" i="61"/>
  <c r="D21" i="61"/>
  <c r="G21" i="61"/>
  <c r="G46" i="61" s="1"/>
  <c r="G48" i="61" s="1"/>
  <c r="J21" i="61"/>
  <c r="J46" i="61" s="1"/>
  <c r="M21" i="61"/>
  <c r="M46" i="61" s="1"/>
  <c r="P21" i="61"/>
  <c r="P46" i="61" s="1"/>
  <c r="I18" i="61"/>
  <c r="L18" i="61"/>
  <c r="O18" i="61"/>
  <c r="R18" i="61"/>
  <c r="H18" i="61"/>
  <c r="H17" i="61" s="1"/>
  <c r="K18" i="61"/>
  <c r="N18" i="61"/>
  <c r="Q18" i="61"/>
  <c r="E21" i="61"/>
  <c r="H21" i="61"/>
  <c r="H46" i="61" s="1"/>
  <c r="K21" i="61"/>
  <c r="N21" i="61"/>
  <c r="N46" i="61" s="1"/>
  <c r="Q21" i="61"/>
  <c r="Q46" i="61" s="1"/>
  <c r="F21" i="61"/>
  <c r="I21" i="61"/>
  <c r="L21" i="61"/>
  <c r="O21" i="61"/>
  <c r="R21" i="61"/>
  <c r="E33" i="59"/>
  <c r="E33" i="58"/>
  <c r="C33" i="59"/>
  <c r="C10" i="59" s="1"/>
  <c r="C33" i="58"/>
  <c r="C10" i="58" s="1"/>
  <c r="D33" i="59"/>
  <c r="D33" i="58"/>
  <c r="E8" i="43"/>
  <c r="E9" i="43" s="1"/>
  <c r="E32" i="43" s="1"/>
  <c r="F8" i="43"/>
  <c r="F9" i="43" s="1"/>
  <c r="F32" i="43" s="1"/>
  <c r="E8" i="57"/>
  <c r="E9" i="57" s="1"/>
  <c r="E32" i="57" s="1"/>
  <c r="F8" i="57"/>
  <c r="F9" i="57" s="1"/>
  <c r="F32" i="57" s="1"/>
  <c r="S7" i="58"/>
  <c r="S7" i="61"/>
  <c r="C5" i="56" s="1"/>
  <c r="E40" i="61"/>
  <c r="F33" i="43"/>
  <c r="E33" i="43"/>
  <c r="F45" i="57"/>
  <c r="F20" i="57" s="1"/>
  <c r="F45" i="59"/>
  <c r="F20" i="59" s="1"/>
  <c r="F45" i="43"/>
  <c r="F20" i="43" s="1"/>
  <c r="F45" i="58"/>
  <c r="F20" i="58" s="1"/>
  <c r="F37" i="59"/>
  <c r="F12" i="59" s="1"/>
  <c r="F37" i="58"/>
  <c r="F12" i="58" s="1"/>
  <c r="F37" i="57"/>
  <c r="F12" i="57" s="1"/>
  <c r="F37" i="43"/>
  <c r="F12" i="43" s="1"/>
  <c r="F38" i="59"/>
  <c r="F13" i="59" s="1"/>
  <c r="F38" i="58"/>
  <c r="F13" i="58" s="1"/>
  <c r="F38" i="57"/>
  <c r="F13" i="57" s="1"/>
  <c r="F38" i="43"/>
  <c r="F13" i="43" s="1"/>
  <c r="E45" i="59"/>
  <c r="E20" i="59" s="1"/>
  <c r="E45" i="43"/>
  <c r="E20" i="43" s="1"/>
  <c r="E45" i="58"/>
  <c r="E20" i="58" s="1"/>
  <c r="E45" i="57"/>
  <c r="E20" i="57" s="1"/>
  <c r="E36" i="57"/>
  <c r="E36" i="59"/>
  <c r="E36" i="58"/>
  <c r="E36" i="43"/>
  <c r="E43" i="59"/>
  <c r="E43" i="43"/>
  <c r="E43" i="58"/>
  <c r="E43" i="57"/>
  <c r="F36" i="57"/>
  <c r="F36" i="43"/>
  <c r="F36" i="59"/>
  <c r="F36" i="58"/>
  <c r="F40" i="61"/>
  <c r="F44" i="57"/>
  <c r="F19" i="57" s="1"/>
  <c r="F44" i="58"/>
  <c r="F19" i="58" s="1"/>
  <c r="F44" i="59"/>
  <c r="F19" i="59" s="1"/>
  <c r="F44" i="43"/>
  <c r="F19" i="43" s="1"/>
  <c r="E38" i="57"/>
  <c r="E13" i="57" s="1"/>
  <c r="E38" i="43"/>
  <c r="E13" i="43" s="1"/>
  <c r="E38" i="59"/>
  <c r="E13" i="59" s="1"/>
  <c r="E38" i="58"/>
  <c r="E13" i="58" s="1"/>
  <c r="E44" i="59"/>
  <c r="E19" i="59" s="1"/>
  <c r="E44" i="43"/>
  <c r="E19" i="43" s="1"/>
  <c r="E44" i="57"/>
  <c r="E19" i="57" s="1"/>
  <c r="E44" i="58"/>
  <c r="E19" i="58" s="1"/>
  <c r="F47" i="59"/>
  <c r="F22" i="59" s="1"/>
  <c r="F47" i="43"/>
  <c r="F22" i="43" s="1"/>
  <c r="F47" i="58"/>
  <c r="F22" i="58" s="1"/>
  <c r="F47" i="57"/>
  <c r="F22" i="57" s="1"/>
  <c r="F43" i="57"/>
  <c r="F43" i="59"/>
  <c r="F43" i="43"/>
  <c r="F43" i="58"/>
  <c r="E47" i="59"/>
  <c r="E22" i="59" s="1"/>
  <c r="E47" i="57"/>
  <c r="E22" i="57" s="1"/>
  <c r="E47" i="43"/>
  <c r="E22" i="43" s="1"/>
  <c r="E47" i="58"/>
  <c r="E22" i="58" s="1"/>
  <c r="E37" i="57"/>
  <c r="E12" i="57" s="1"/>
  <c r="E37" i="59"/>
  <c r="E12" i="59" s="1"/>
  <c r="E37" i="58"/>
  <c r="E12" i="58" s="1"/>
  <c r="E37" i="43"/>
  <c r="E12" i="43" s="1"/>
  <c r="U10" i="55"/>
  <c r="V9" i="55"/>
  <c r="D38" i="59"/>
  <c r="D13" i="59" s="1"/>
  <c r="D38" i="58"/>
  <c r="D13" i="58" s="1"/>
  <c r="D38" i="57"/>
  <c r="D13" i="57" s="1"/>
  <c r="D38" i="43"/>
  <c r="D13" i="43" s="1"/>
  <c r="D37" i="59"/>
  <c r="D12" i="59" s="1"/>
  <c r="D37" i="58"/>
  <c r="D12" i="58" s="1"/>
  <c r="D37" i="57"/>
  <c r="D12" i="57" s="1"/>
  <c r="D37" i="43"/>
  <c r="D12" i="43" s="1"/>
  <c r="D45" i="59"/>
  <c r="D20" i="59" s="1"/>
  <c r="D45" i="58"/>
  <c r="D20" i="58" s="1"/>
  <c r="D45" i="57"/>
  <c r="D20" i="57" s="1"/>
  <c r="D45" i="43"/>
  <c r="D20" i="43" s="1"/>
  <c r="S18" i="55"/>
  <c r="C17" i="36"/>
  <c r="M10" i="36"/>
  <c r="D47" i="61"/>
  <c r="D22" i="61" s="1"/>
  <c r="D43" i="61"/>
  <c r="D44" i="61"/>
  <c r="D19" i="61" s="1"/>
  <c r="D36" i="61"/>
  <c r="D11" i="61" s="1"/>
  <c r="D14" i="61" s="1"/>
  <c r="D15" i="61" s="1"/>
  <c r="D16" i="61" s="1"/>
  <c r="C56" i="56"/>
  <c r="E26" i="51"/>
  <c r="S18" i="43" s="1"/>
  <c r="M18" i="43" s="1"/>
  <c r="D28" i="51"/>
  <c r="E27" i="51"/>
  <c r="S21" i="43" s="1"/>
  <c r="J21" i="43" s="1"/>
  <c r="C9" i="61"/>
  <c r="D8" i="57"/>
  <c r="D9" i="57" s="1"/>
  <c r="D32" i="57" s="1"/>
  <c r="D34" i="57" s="1"/>
  <c r="C8" i="43"/>
  <c r="D8" i="43"/>
  <c r="D9" i="43" s="1"/>
  <c r="D32" i="43" s="1"/>
  <c r="D34" i="43" s="1"/>
  <c r="C8" i="57" l="1"/>
  <c r="E4" i="50"/>
  <c r="E10" i="50"/>
  <c r="C38" i="61" s="1"/>
  <c r="E5" i="50"/>
  <c r="C43" i="61" s="1"/>
  <c r="C43" i="59" s="1"/>
  <c r="E8" i="50"/>
  <c r="C45" i="61" s="1"/>
  <c r="E9" i="50"/>
  <c r="C44" i="61" s="1"/>
  <c r="C44" i="59" s="1"/>
  <c r="C19" i="59" s="1"/>
  <c r="E6" i="50"/>
  <c r="C37" i="61" s="1"/>
  <c r="E11" i="50"/>
  <c r="C47" i="61" s="1"/>
  <c r="C47" i="59" s="1"/>
  <c r="C22" i="59" s="1"/>
  <c r="E7" i="50"/>
  <c r="H101" i="50"/>
  <c r="E88" i="50"/>
  <c r="I47" i="61" s="1"/>
  <c r="H47" i="58"/>
  <c r="H22" i="58" s="1"/>
  <c r="H47" i="59"/>
  <c r="H22" i="59" s="1"/>
  <c r="H47" i="43"/>
  <c r="H22" i="43" s="1"/>
  <c r="H47" i="57"/>
  <c r="H22" i="57" s="1"/>
  <c r="H22" i="61"/>
  <c r="H99" i="50"/>
  <c r="E86" i="50"/>
  <c r="I44" i="61" s="1"/>
  <c r="H45" i="58"/>
  <c r="H20" i="58" s="1"/>
  <c r="H45" i="59"/>
  <c r="H20" i="59" s="1"/>
  <c r="H45" i="43"/>
  <c r="H20" i="43" s="1"/>
  <c r="H45" i="57"/>
  <c r="H20" i="57" s="1"/>
  <c r="H20" i="61"/>
  <c r="H98" i="50"/>
  <c r="E85" i="50"/>
  <c r="I45" i="61" s="1"/>
  <c r="H44" i="43"/>
  <c r="H19" i="43" s="1"/>
  <c r="H44" i="58"/>
  <c r="H19" i="58" s="1"/>
  <c r="H44" i="59"/>
  <c r="H19" i="59" s="1"/>
  <c r="H19" i="61"/>
  <c r="H44" i="57"/>
  <c r="H19" i="57" s="1"/>
  <c r="H96" i="50"/>
  <c r="E83" i="50"/>
  <c r="I37" i="61" s="1"/>
  <c r="H43" i="57"/>
  <c r="H43" i="59"/>
  <c r="H43" i="43"/>
  <c r="H43" i="58"/>
  <c r="H97" i="50"/>
  <c r="E84" i="50"/>
  <c r="H36" i="43"/>
  <c r="H11" i="43" s="1"/>
  <c r="H36" i="58"/>
  <c r="H11" i="58" s="1"/>
  <c r="H36" i="59"/>
  <c r="H11" i="59" s="1"/>
  <c r="H36" i="57"/>
  <c r="H11" i="57" s="1"/>
  <c r="H11" i="61"/>
  <c r="H37" i="43"/>
  <c r="H12" i="43" s="1"/>
  <c r="H37" i="58"/>
  <c r="H12" i="58" s="1"/>
  <c r="H37" i="59"/>
  <c r="H12" i="59" s="1"/>
  <c r="H12" i="61"/>
  <c r="H37" i="57"/>
  <c r="H12" i="57" s="1"/>
  <c r="H95" i="50"/>
  <c r="E82" i="50"/>
  <c r="I43" i="61" s="1"/>
  <c r="I17" i="61" s="1"/>
  <c r="H94" i="50"/>
  <c r="E81" i="50"/>
  <c r="I36" i="61" s="1"/>
  <c r="H38" i="58"/>
  <c r="H13" i="58" s="1"/>
  <c r="H14" i="58" s="1"/>
  <c r="H13" i="61"/>
  <c r="H14" i="61" s="1"/>
  <c r="H15" i="61" s="1"/>
  <c r="H16" i="61" s="1"/>
  <c r="H38" i="57"/>
  <c r="H13" i="57" s="1"/>
  <c r="H14" i="57" s="1"/>
  <c r="H38" i="59"/>
  <c r="H13" i="59" s="1"/>
  <c r="H14" i="59" s="1"/>
  <c r="H38" i="43"/>
  <c r="H13" i="43" s="1"/>
  <c r="H14" i="43" s="1"/>
  <c r="H40" i="61"/>
  <c r="H48" i="61" s="1"/>
  <c r="H100" i="50"/>
  <c r="E87" i="50"/>
  <c r="I38" i="61" s="1"/>
  <c r="F23" i="61"/>
  <c r="F24" i="61" s="1"/>
  <c r="S19" i="55"/>
  <c r="S20" i="55" s="1"/>
  <c r="M32" i="57"/>
  <c r="M34" i="57" s="1"/>
  <c r="O32" i="57"/>
  <c r="O34" i="57" s="1"/>
  <c r="P32" i="57"/>
  <c r="P34" i="57" s="1"/>
  <c r="N32" i="57"/>
  <c r="N34" i="57" s="1"/>
  <c r="M32" i="43"/>
  <c r="M34" i="43" s="1"/>
  <c r="O32" i="43"/>
  <c r="O34" i="43" s="1"/>
  <c r="P32" i="43"/>
  <c r="P34" i="43" s="1"/>
  <c r="I8" i="58"/>
  <c r="I9" i="58" s="1"/>
  <c r="R8" i="58"/>
  <c r="R9" i="58" s="1"/>
  <c r="G8" i="58"/>
  <c r="G9" i="58" s="1"/>
  <c r="H8" i="58"/>
  <c r="H9" i="58" s="1"/>
  <c r="O8" i="58"/>
  <c r="O9" i="58" s="1"/>
  <c r="J8" i="58"/>
  <c r="J9" i="58" s="1"/>
  <c r="L8" i="58"/>
  <c r="L9" i="58" s="1"/>
  <c r="N8" i="58"/>
  <c r="N9" i="58" s="1"/>
  <c r="P8" i="58"/>
  <c r="P9" i="58" s="1"/>
  <c r="Q8" i="58"/>
  <c r="Q9" i="58" s="1"/>
  <c r="M8" i="58"/>
  <c r="M9" i="58" s="1"/>
  <c r="K8" i="58"/>
  <c r="K9" i="58" s="1"/>
  <c r="G32" i="57"/>
  <c r="G34" i="57" s="1"/>
  <c r="G40" i="57" s="1"/>
  <c r="G15" i="57"/>
  <c r="G16" i="57" s="1"/>
  <c r="L32" i="57"/>
  <c r="L34" i="57" s="1"/>
  <c r="J32" i="57"/>
  <c r="J34" i="57" s="1"/>
  <c r="K32" i="57"/>
  <c r="K34" i="57" s="1"/>
  <c r="G32" i="43"/>
  <c r="G34" i="43" s="1"/>
  <c r="G40" i="43" s="1"/>
  <c r="G15" i="43"/>
  <c r="G16" i="43" s="1"/>
  <c r="L32" i="43"/>
  <c r="L34" i="43" s="1"/>
  <c r="J32" i="43"/>
  <c r="J34" i="43" s="1"/>
  <c r="K32" i="43"/>
  <c r="K34" i="43" s="1"/>
  <c r="N32" i="43"/>
  <c r="N34" i="43" s="1"/>
  <c r="R32" i="57"/>
  <c r="R34" i="57" s="1"/>
  <c r="I32" i="57"/>
  <c r="I34" i="57" s="1"/>
  <c r="Q32" i="57"/>
  <c r="Q34" i="57" s="1"/>
  <c r="H32" i="57"/>
  <c r="H34" i="57" s="1"/>
  <c r="H40" i="57" s="1"/>
  <c r="H15" i="57"/>
  <c r="H16" i="57" s="1"/>
  <c r="R32" i="43"/>
  <c r="R34" i="43" s="1"/>
  <c r="I32" i="43"/>
  <c r="I34" i="43" s="1"/>
  <c r="Q32" i="43"/>
  <c r="Q34" i="43" s="1"/>
  <c r="H32" i="43"/>
  <c r="H34" i="43" s="1"/>
  <c r="H40" i="43" s="1"/>
  <c r="H15" i="43"/>
  <c r="H16" i="43" s="1"/>
  <c r="D17" i="61"/>
  <c r="D23" i="61" s="1"/>
  <c r="D24" i="61" s="1"/>
  <c r="D25" i="61" s="1"/>
  <c r="D26" i="61" s="1"/>
  <c r="D27" i="61" s="1"/>
  <c r="R21" i="43"/>
  <c r="R46" i="43" s="1"/>
  <c r="I18" i="43"/>
  <c r="O18" i="43"/>
  <c r="K21" i="43"/>
  <c r="K46" i="43" s="1"/>
  <c r="N18" i="43"/>
  <c r="P21" i="43"/>
  <c r="P46" i="43" s="1"/>
  <c r="G21" i="43"/>
  <c r="G46" i="43" s="1"/>
  <c r="G48" i="43" s="1"/>
  <c r="J18" i="43"/>
  <c r="I21" i="43"/>
  <c r="I46" i="43" s="1"/>
  <c r="L18" i="43"/>
  <c r="Q21" i="43"/>
  <c r="Q46" i="43" s="1"/>
  <c r="H21" i="43"/>
  <c r="H46" i="43" s="1"/>
  <c r="K18" i="43"/>
  <c r="M21" i="43"/>
  <c r="P18" i="43"/>
  <c r="G18" i="43"/>
  <c r="G17" i="43" s="1"/>
  <c r="L21" i="43"/>
  <c r="L46" i="43" s="1"/>
  <c r="R18" i="43"/>
  <c r="O21" i="43"/>
  <c r="O46" i="43" s="1"/>
  <c r="N21" i="43"/>
  <c r="N46" i="43" s="1"/>
  <c r="Q18" i="43"/>
  <c r="H18" i="43"/>
  <c r="H17" i="43" s="1"/>
  <c r="R46" i="61"/>
  <c r="I46" i="61"/>
  <c r="E23" i="61"/>
  <c r="E24" i="61" s="1"/>
  <c r="E25" i="61" s="1"/>
  <c r="E26" i="61" s="1"/>
  <c r="E27" i="61" s="1"/>
  <c r="L46" i="61"/>
  <c r="O46" i="61"/>
  <c r="K46" i="61"/>
  <c r="H4" i="56"/>
  <c r="J46" i="43"/>
  <c r="H23" i="61"/>
  <c r="H24" i="61" s="1"/>
  <c r="G23" i="61"/>
  <c r="G24" i="61" s="1"/>
  <c r="F25" i="61"/>
  <c r="F26" i="61" s="1"/>
  <c r="F27" i="61" s="1"/>
  <c r="S8" i="43"/>
  <c r="D6" i="56" s="1"/>
  <c r="D7" i="56" s="1"/>
  <c r="E8" i="58"/>
  <c r="E9" i="58" s="1"/>
  <c r="E32" i="58" s="1"/>
  <c r="F8" i="58"/>
  <c r="F9" i="58" s="1"/>
  <c r="F32" i="58" s="1"/>
  <c r="D8" i="58"/>
  <c r="D9" i="58" s="1"/>
  <c r="D32" i="58" s="1"/>
  <c r="D34" i="58" s="1"/>
  <c r="C8" i="58"/>
  <c r="C9" i="58" s="1"/>
  <c r="C32" i="58" s="1"/>
  <c r="C34" i="58" s="1"/>
  <c r="C9" i="57"/>
  <c r="S8" i="57"/>
  <c r="E6" i="56" s="1"/>
  <c r="F5" i="56"/>
  <c r="H5" i="56" s="1"/>
  <c r="C32" i="61"/>
  <c r="C34" i="61" s="1"/>
  <c r="S9" i="61"/>
  <c r="C7" i="56" s="1"/>
  <c r="E18" i="43"/>
  <c r="E17" i="43" s="1"/>
  <c r="F18" i="43"/>
  <c r="F17" i="43" s="1"/>
  <c r="E21" i="43"/>
  <c r="E46" i="43" s="1"/>
  <c r="F21" i="43"/>
  <c r="F46" i="43" s="1"/>
  <c r="S10" i="61"/>
  <c r="C8" i="56" s="1"/>
  <c r="C31" i="56" s="1"/>
  <c r="F10" i="57"/>
  <c r="F34" i="57"/>
  <c r="F40" i="57" s="1"/>
  <c r="E34" i="57"/>
  <c r="E40" i="57" s="1"/>
  <c r="E10" i="57"/>
  <c r="E10" i="43"/>
  <c r="E34" i="43"/>
  <c r="E40" i="43" s="1"/>
  <c r="F10" i="43"/>
  <c r="F34" i="43"/>
  <c r="F40" i="43" s="1"/>
  <c r="F11" i="43"/>
  <c r="F14" i="43" s="1"/>
  <c r="E11" i="58"/>
  <c r="F11" i="58"/>
  <c r="F14" i="58" s="1"/>
  <c r="F11" i="57"/>
  <c r="E11" i="43"/>
  <c r="E11" i="59"/>
  <c r="F11" i="59"/>
  <c r="F14" i="59" s="1"/>
  <c r="E11" i="57"/>
  <c r="E14" i="57" s="1"/>
  <c r="U11" i="55"/>
  <c r="V10" i="55"/>
  <c r="D36" i="59"/>
  <c r="D36" i="58"/>
  <c r="D11" i="58" s="1"/>
  <c r="D14" i="58" s="1"/>
  <c r="D36" i="57"/>
  <c r="D11" i="57" s="1"/>
  <c r="D14" i="57" s="1"/>
  <c r="D15" i="57" s="1"/>
  <c r="D16" i="57" s="1"/>
  <c r="D36" i="43"/>
  <c r="D11" i="43" s="1"/>
  <c r="D14" i="43" s="1"/>
  <c r="D15" i="43" s="1"/>
  <c r="D16" i="43" s="1"/>
  <c r="D43" i="59"/>
  <c r="D43" i="43"/>
  <c r="D43" i="58"/>
  <c r="D43" i="57"/>
  <c r="D44" i="58"/>
  <c r="D19" i="58" s="1"/>
  <c r="D44" i="57"/>
  <c r="D19" i="57" s="1"/>
  <c r="D44" i="59"/>
  <c r="D19" i="59" s="1"/>
  <c r="D44" i="43"/>
  <c r="D19" i="43" s="1"/>
  <c r="C19" i="61"/>
  <c r="C44" i="57"/>
  <c r="C19" i="57" s="1"/>
  <c r="C44" i="58"/>
  <c r="C19" i="58" s="1"/>
  <c r="C22" i="61"/>
  <c r="C47" i="58"/>
  <c r="C22" i="58" s="1"/>
  <c r="D47" i="59"/>
  <c r="D22" i="59" s="1"/>
  <c r="D47" i="43"/>
  <c r="D22" i="43" s="1"/>
  <c r="D47" i="57"/>
  <c r="D22" i="57" s="1"/>
  <c r="D47" i="58"/>
  <c r="D22" i="58" s="1"/>
  <c r="E23" i="36"/>
  <c r="C18" i="36"/>
  <c r="D18" i="36" s="1"/>
  <c r="E18" i="36" s="1"/>
  <c r="F18" i="36" s="1"/>
  <c r="G18" i="36" s="1"/>
  <c r="H18" i="36" s="1"/>
  <c r="M17" i="36"/>
  <c r="E22" i="36"/>
  <c r="C19" i="36"/>
  <c r="D10" i="58"/>
  <c r="D10" i="59"/>
  <c r="D40" i="61"/>
  <c r="D18" i="43"/>
  <c r="C18" i="43"/>
  <c r="F26" i="51"/>
  <c r="F27" i="51"/>
  <c r="E28" i="51"/>
  <c r="C21" i="43"/>
  <c r="D21" i="43"/>
  <c r="D19" i="56"/>
  <c r="D45" i="56" s="1"/>
  <c r="C9" i="43"/>
  <c r="C47" i="57" l="1"/>
  <c r="C22" i="57" s="1"/>
  <c r="C47" i="43"/>
  <c r="C22" i="43" s="1"/>
  <c r="C43" i="57"/>
  <c r="C44" i="43"/>
  <c r="C19" i="43" s="1"/>
  <c r="C37" i="58"/>
  <c r="C12" i="58" s="1"/>
  <c r="C12" i="61"/>
  <c r="C37" i="57"/>
  <c r="C12" i="57" s="1"/>
  <c r="C37" i="59"/>
  <c r="C12" i="59" s="1"/>
  <c r="C37" i="43"/>
  <c r="C12" i="43" s="1"/>
  <c r="C43" i="43"/>
  <c r="C43" i="58"/>
  <c r="C38" i="59"/>
  <c r="C13" i="59" s="1"/>
  <c r="C38" i="43"/>
  <c r="C13" i="43" s="1"/>
  <c r="C38" i="58"/>
  <c r="C13" i="58" s="1"/>
  <c r="C13" i="61"/>
  <c r="C38" i="57"/>
  <c r="C13" i="57" s="1"/>
  <c r="C45" i="59"/>
  <c r="C20" i="59" s="1"/>
  <c r="C45" i="43"/>
  <c r="C20" i="43" s="1"/>
  <c r="C45" i="58"/>
  <c r="C20" i="58" s="1"/>
  <c r="C20" i="61"/>
  <c r="C45" i="57"/>
  <c r="C20" i="57" s="1"/>
  <c r="I47" i="58"/>
  <c r="I22" i="58" s="1"/>
  <c r="I47" i="59"/>
  <c r="I22" i="59" s="1"/>
  <c r="I22" i="61"/>
  <c r="I47" i="43"/>
  <c r="I22" i="43" s="1"/>
  <c r="I47" i="57"/>
  <c r="I22" i="57" s="1"/>
  <c r="H114" i="50"/>
  <c r="E101" i="50"/>
  <c r="J47" i="61" s="1"/>
  <c r="I45" i="59"/>
  <c r="I20" i="59" s="1"/>
  <c r="I45" i="57"/>
  <c r="I20" i="57" s="1"/>
  <c r="I45" i="43"/>
  <c r="I20" i="43" s="1"/>
  <c r="I45" i="58"/>
  <c r="I20" i="58" s="1"/>
  <c r="I20" i="61"/>
  <c r="H111" i="50"/>
  <c r="E98" i="50"/>
  <c r="J45" i="61" s="1"/>
  <c r="I44" i="58"/>
  <c r="I19" i="58" s="1"/>
  <c r="I44" i="57"/>
  <c r="I19" i="57" s="1"/>
  <c r="I19" i="61"/>
  <c r="I44" i="59"/>
  <c r="I19" i="59" s="1"/>
  <c r="I44" i="43"/>
  <c r="I19" i="43" s="1"/>
  <c r="H112" i="50"/>
  <c r="E99" i="50"/>
  <c r="J44" i="61" s="1"/>
  <c r="I11" i="61"/>
  <c r="I36" i="43"/>
  <c r="I11" i="43" s="1"/>
  <c r="I36" i="58"/>
  <c r="I11" i="58" s="1"/>
  <c r="I36" i="59"/>
  <c r="I11" i="59" s="1"/>
  <c r="I36" i="57"/>
  <c r="I11" i="57" s="1"/>
  <c r="H108" i="50"/>
  <c r="E95" i="50"/>
  <c r="J43" i="61" s="1"/>
  <c r="I12" i="61"/>
  <c r="I37" i="43"/>
  <c r="I12" i="43" s="1"/>
  <c r="I37" i="58"/>
  <c r="I12" i="58" s="1"/>
  <c r="I37" i="59"/>
  <c r="I12" i="59" s="1"/>
  <c r="I37" i="57"/>
  <c r="I12" i="57" s="1"/>
  <c r="I17" i="43"/>
  <c r="H107" i="50"/>
  <c r="E94" i="50"/>
  <c r="J36" i="61" s="1"/>
  <c r="H110" i="50"/>
  <c r="E97" i="50"/>
  <c r="H109" i="50"/>
  <c r="E96" i="50"/>
  <c r="J37" i="61" s="1"/>
  <c r="I43" i="58"/>
  <c r="I43" i="57"/>
  <c r="I43" i="43"/>
  <c r="I43" i="59"/>
  <c r="I38" i="59"/>
  <c r="I13" i="59" s="1"/>
  <c r="I14" i="59" s="1"/>
  <c r="I38" i="57"/>
  <c r="I13" i="57" s="1"/>
  <c r="I38" i="58"/>
  <c r="I13" i="58" s="1"/>
  <c r="I38" i="43"/>
  <c r="I13" i="43" s="1"/>
  <c r="I13" i="61"/>
  <c r="I40" i="61"/>
  <c r="I48" i="61" s="1"/>
  <c r="H113" i="50"/>
  <c r="E100" i="50"/>
  <c r="J38" i="61" s="1"/>
  <c r="G23" i="43"/>
  <c r="S21" i="57"/>
  <c r="M21" i="57" s="1"/>
  <c r="G27" i="51"/>
  <c r="H27" i="51" s="1"/>
  <c r="S18" i="57"/>
  <c r="P18" i="57" s="1"/>
  <c r="G26" i="51"/>
  <c r="H26" i="51" s="1"/>
  <c r="H48" i="43"/>
  <c r="D40" i="58"/>
  <c r="H23" i="43"/>
  <c r="H24" i="43" s="1"/>
  <c r="H25" i="43" s="1"/>
  <c r="H26" i="43" s="1"/>
  <c r="H27" i="43" s="1"/>
  <c r="K32" i="58"/>
  <c r="K34" i="58" s="1"/>
  <c r="P32" i="58"/>
  <c r="P34" i="58" s="1"/>
  <c r="J32" i="58"/>
  <c r="J34" i="58" s="1"/>
  <c r="G32" i="58"/>
  <c r="G34" i="58" s="1"/>
  <c r="G40" i="58" s="1"/>
  <c r="G15" i="58"/>
  <c r="G16" i="58" s="1"/>
  <c r="G8" i="59"/>
  <c r="G9" i="59" s="1"/>
  <c r="J8" i="59"/>
  <c r="J9" i="59" s="1"/>
  <c r="M8" i="59"/>
  <c r="M9" i="59" s="1"/>
  <c r="P8" i="59"/>
  <c r="P9" i="59" s="1"/>
  <c r="H8" i="59"/>
  <c r="H9" i="59" s="1"/>
  <c r="K8" i="59"/>
  <c r="K9" i="59" s="1"/>
  <c r="N8" i="59"/>
  <c r="N9" i="59" s="1"/>
  <c r="Q8" i="59"/>
  <c r="Q9" i="59" s="1"/>
  <c r="I8" i="59"/>
  <c r="I9" i="59" s="1"/>
  <c r="L8" i="59"/>
  <c r="L9" i="59" s="1"/>
  <c r="O8" i="59"/>
  <c r="O9" i="59" s="1"/>
  <c r="R8" i="59"/>
  <c r="R9" i="59" s="1"/>
  <c r="Q32" i="58"/>
  <c r="Q34" i="58" s="1"/>
  <c r="L32" i="58"/>
  <c r="L34" i="58" s="1"/>
  <c r="H32" i="58"/>
  <c r="H34" i="58" s="1"/>
  <c r="H40" i="58" s="1"/>
  <c r="H15" i="58"/>
  <c r="H16" i="58" s="1"/>
  <c r="I32" i="58"/>
  <c r="I34" i="58" s="1"/>
  <c r="G24" i="43"/>
  <c r="G25" i="43" s="1"/>
  <c r="G26" i="43" s="1"/>
  <c r="G27" i="43" s="1"/>
  <c r="M32" i="58"/>
  <c r="M34" i="58" s="1"/>
  <c r="N32" i="58"/>
  <c r="N34" i="58" s="1"/>
  <c r="O32" i="58"/>
  <c r="O34" i="58" s="1"/>
  <c r="R32" i="58"/>
  <c r="R34" i="58" s="1"/>
  <c r="M46" i="43"/>
  <c r="G18" i="57"/>
  <c r="G17" i="57" s="1"/>
  <c r="N18" i="57"/>
  <c r="I23" i="43"/>
  <c r="K21" i="57"/>
  <c r="G25" i="61"/>
  <c r="G26" i="61" s="1"/>
  <c r="G27" i="61" s="1"/>
  <c r="H25" i="61"/>
  <c r="H26" i="61" s="1"/>
  <c r="H27" i="61" s="1"/>
  <c r="E15" i="57"/>
  <c r="E16" i="57" s="1"/>
  <c r="F15" i="43"/>
  <c r="F16" i="43" s="1"/>
  <c r="S10" i="57"/>
  <c r="E8" i="56" s="1"/>
  <c r="E31" i="56" s="1"/>
  <c r="E8" i="59"/>
  <c r="E9" i="59" s="1"/>
  <c r="E32" i="59" s="1"/>
  <c r="E34" i="59" s="1"/>
  <c r="E40" i="59" s="1"/>
  <c r="F8" i="59"/>
  <c r="F9" i="59" s="1"/>
  <c r="F32" i="59" s="1"/>
  <c r="F34" i="59" s="1"/>
  <c r="F40" i="59" s="1"/>
  <c r="S8" i="58"/>
  <c r="S10" i="43"/>
  <c r="S9" i="57"/>
  <c r="E7" i="56" s="1"/>
  <c r="C32" i="57"/>
  <c r="C34" i="57" s="1"/>
  <c r="S9" i="43"/>
  <c r="C32" i="43"/>
  <c r="C34" i="43" s="1"/>
  <c r="F23" i="43"/>
  <c r="F48" i="43"/>
  <c r="E23" i="43"/>
  <c r="E48" i="43"/>
  <c r="D17" i="43"/>
  <c r="D23" i="43" s="1"/>
  <c r="D24" i="43" s="1"/>
  <c r="D40" i="43"/>
  <c r="E34" i="58"/>
  <c r="E40" i="58" s="1"/>
  <c r="E10" i="58"/>
  <c r="F34" i="58"/>
  <c r="F40" i="58" s="1"/>
  <c r="F10" i="58"/>
  <c r="F15" i="58" s="1"/>
  <c r="F16" i="58" s="1"/>
  <c r="E10" i="59"/>
  <c r="F10" i="59"/>
  <c r="E14" i="59"/>
  <c r="E14" i="58"/>
  <c r="E14" i="43"/>
  <c r="E15" i="43" s="1"/>
  <c r="F14" i="57"/>
  <c r="F15" i="57" s="1"/>
  <c r="F16" i="57" s="1"/>
  <c r="D8" i="59"/>
  <c r="D9" i="59" s="1"/>
  <c r="D32" i="59" s="1"/>
  <c r="D34" i="59" s="1"/>
  <c r="D40" i="59" s="1"/>
  <c r="C8" i="59"/>
  <c r="U12" i="55"/>
  <c r="V12" i="55" s="1"/>
  <c r="V11" i="55"/>
  <c r="D40" i="57"/>
  <c r="C17" i="43"/>
  <c r="D11" i="59"/>
  <c r="D14" i="59" s="1"/>
  <c r="C20" i="36"/>
  <c r="D20" i="36" s="1"/>
  <c r="E20" i="36" s="1"/>
  <c r="F20" i="36" s="1"/>
  <c r="G20" i="36" s="1"/>
  <c r="H20" i="36" s="1"/>
  <c r="M19" i="36"/>
  <c r="I23" i="36"/>
  <c r="I22" i="36"/>
  <c r="E24" i="36"/>
  <c r="I18" i="36"/>
  <c r="J18" i="36" s="1"/>
  <c r="K18" i="36" s="1"/>
  <c r="L18" i="36" s="1"/>
  <c r="D15" i="58"/>
  <c r="D16" i="58" s="1"/>
  <c r="D46" i="43"/>
  <c r="C46" i="43"/>
  <c r="F28" i="51"/>
  <c r="C30" i="56"/>
  <c r="C32" i="56" s="1"/>
  <c r="C33" i="56" s="1"/>
  <c r="D30" i="56"/>
  <c r="D51" i="56"/>
  <c r="D21" i="57" l="1"/>
  <c r="C18" i="57"/>
  <c r="C17" i="57" s="1"/>
  <c r="E21" i="57"/>
  <c r="E46" i="57" s="1"/>
  <c r="E48" i="57" s="1"/>
  <c r="F18" i="57"/>
  <c r="F17" i="57" s="1"/>
  <c r="H18" i="57"/>
  <c r="H17" i="57" s="1"/>
  <c r="H127" i="50"/>
  <c r="E114" i="50"/>
  <c r="K47" i="61" s="1"/>
  <c r="J22" i="61"/>
  <c r="J47" i="57"/>
  <c r="J22" i="57" s="1"/>
  <c r="J47" i="59"/>
  <c r="J22" i="59" s="1"/>
  <c r="J47" i="58"/>
  <c r="J22" i="58" s="1"/>
  <c r="J47" i="43"/>
  <c r="J22" i="43" s="1"/>
  <c r="H125" i="50"/>
  <c r="E112" i="50"/>
  <c r="K44" i="61" s="1"/>
  <c r="I23" i="61"/>
  <c r="J20" i="61"/>
  <c r="J45" i="59"/>
  <c r="J20" i="59" s="1"/>
  <c r="J45" i="57"/>
  <c r="J20" i="57" s="1"/>
  <c r="J45" i="43"/>
  <c r="J20" i="43" s="1"/>
  <c r="J45" i="58"/>
  <c r="J20" i="58" s="1"/>
  <c r="J19" i="61"/>
  <c r="J44" i="59"/>
  <c r="J19" i="59" s="1"/>
  <c r="J44" i="57"/>
  <c r="J19" i="57" s="1"/>
  <c r="J44" i="43"/>
  <c r="J19" i="43" s="1"/>
  <c r="J44" i="58"/>
  <c r="J19" i="58" s="1"/>
  <c r="H124" i="50"/>
  <c r="E111" i="50"/>
  <c r="K45" i="61" s="1"/>
  <c r="H120" i="50"/>
  <c r="E107" i="50"/>
  <c r="K36" i="61" s="1"/>
  <c r="J37" i="57"/>
  <c r="J12" i="57" s="1"/>
  <c r="J37" i="59"/>
  <c r="J12" i="59" s="1"/>
  <c r="J37" i="58"/>
  <c r="J12" i="58" s="1"/>
  <c r="J37" i="43"/>
  <c r="J12" i="43" s="1"/>
  <c r="J12" i="61"/>
  <c r="H123" i="50"/>
  <c r="E110" i="50"/>
  <c r="J43" i="43"/>
  <c r="J17" i="43" s="1"/>
  <c r="J23" i="43" s="1"/>
  <c r="J43" i="58"/>
  <c r="J43" i="59"/>
  <c r="J43" i="57"/>
  <c r="J17" i="61"/>
  <c r="J23" i="61" s="1"/>
  <c r="H122" i="50"/>
  <c r="E109" i="50"/>
  <c r="K37" i="61" s="1"/>
  <c r="J36" i="57"/>
  <c r="J11" i="57" s="1"/>
  <c r="J36" i="43"/>
  <c r="J11" i="43" s="1"/>
  <c r="J11" i="61"/>
  <c r="J36" i="58"/>
  <c r="J11" i="58" s="1"/>
  <c r="J36" i="59"/>
  <c r="J11" i="59" s="1"/>
  <c r="H121" i="50"/>
  <c r="E108" i="50"/>
  <c r="K43" i="61" s="1"/>
  <c r="J38" i="57"/>
  <c r="J38" i="43"/>
  <c r="J38" i="59"/>
  <c r="J13" i="59" s="1"/>
  <c r="J38" i="58"/>
  <c r="J13" i="58" s="1"/>
  <c r="J14" i="58" s="1"/>
  <c r="J15" i="58" s="1"/>
  <c r="J16" i="58" s="1"/>
  <c r="J13" i="61"/>
  <c r="J14" i="61" s="1"/>
  <c r="J15" i="61" s="1"/>
  <c r="J40" i="61"/>
  <c r="J48" i="61" s="1"/>
  <c r="I14" i="61"/>
  <c r="I15" i="61" s="1"/>
  <c r="I14" i="57"/>
  <c r="I15" i="57" s="1"/>
  <c r="I16" i="57" s="1"/>
  <c r="I40" i="43"/>
  <c r="I48" i="43" s="1"/>
  <c r="I40" i="57"/>
  <c r="I14" i="58"/>
  <c r="I15" i="58" s="1"/>
  <c r="I16" i="58" s="1"/>
  <c r="I40" i="58"/>
  <c r="H126" i="50"/>
  <c r="E113" i="50"/>
  <c r="K38" i="61" s="1"/>
  <c r="I14" i="43"/>
  <c r="I15" i="43" s="1"/>
  <c r="I16" i="43" s="1"/>
  <c r="S21" i="58"/>
  <c r="H21" i="58" s="1"/>
  <c r="H46" i="58" s="1"/>
  <c r="H48" i="58" s="1"/>
  <c r="L18" i="57"/>
  <c r="J21" i="57"/>
  <c r="R21" i="57"/>
  <c r="R46" i="57" s="1"/>
  <c r="Q21" i="57"/>
  <c r="Q46" i="57" s="1"/>
  <c r="F15" i="59"/>
  <c r="F16" i="59" s="1"/>
  <c r="E19" i="56"/>
  <c r="E45" i="56" s="1"/>
  <c r="F21" i="57"/>
  <c r="F46" i="57" s="1"/>
  <c r="F48" i="57" s="1"/>
  <c r="O21" i="57"/>
  <c r="I21" i="57"/>
  <c r="P21" i="57"/>
  <c r="H21" i="57"/>
  <c r="H23" i="57" s="1"/>
  <c r="H24" i="57" s="1"/>
  <c r="H25" i="57" s="1"/>
  <c r="H26" i="57" s="1"/>
  <c r="H27" i="57" s="1"/>
  <c r="C21" i="57"/>
  <c r="C46" i="57" s="1"/>
  <c r="N21" i="57"/>
  <c r="N46" i="57" s="1"/>
  <c r="L21" i="57"/>
  <c r="L46" i="57" s="1"/>
  <c r="G21" i="57"/>
  <c r="G23" i="57" s="1"/>
  <c r="G24" i="57" s="1"/>
  <c r="G25" i="57" s="1"/>
  <c r="G26" i="57" s="1"/>
  <c r="G27" i="57" s="1"/>
  <c r="E18" i="57"/>
  <c r="E17" i="57" s="1"/>
  <c r="I18" i="57"/>
  <c r="I17" i="57" s="1"/>
  <c r="M18" i="57"/>
  <c r="J18" i="57"/>
  <c r="J17" i="57" s="1"/>
  <c r="K18" i="57"/>
  <c r="D18" i="57"/>
  <c r="D17" i="57" s="1"/>
  <c r="D23" i="57" s="1"/>
  <c r="D24" i="57" s="1"/>
  <c r="D25" i="57" s="1"/>
  <c r="Q18" i="57"/>
  <c r="O18" i="57"/>
  <c r="R18" i="57"/>
  <c r="O21" i="58"/>
  <c r="O46" i="58" s="1"/>
  <c r="I21" i="58"/>
  <c r="I46" i="58" s="1"/>
  <c r="I32" i="59"/>
  <c r="I34" i="59" s="1"/>
  <c r="I40" i="59" s="1"/>
  <c r="I15" i="59"/>
  <c r="M32" i="59"/>
  <c r="M34" i="59" s="1"/>
  <c r="O32" i="59"/>
  <c r="O34" i="59" s="1"/>
  <c r="Q32" i="59"/>
  <c r="Q34" i="59" s="1"/>
  <c r="H32" i="59"/>
  <c r="H34" i="59" s="1"/>
  <c r="H40" i="59" s="1"/>
  <c r="H15" i="59"/>
  <c r="J32" i="59"/>
  <c r="J34" i="59" s="1"/>
  <c r="J40" i="59" s="1"/>
  <c r="R32" i="59"/>
  <c r="R34" i="59" s="1"/>
  <c r="K32" i="59"/>
  <c r="K34" i="59" s="1"/>
  <c r="L32" i="59"/>
  <c r="L34" i="59" s="1"/>
  <c r="N32" i="59"/>
  <c r="N34" i="59" s="1"/>
  <c r="P32" i="59"/>
  <c r="P34" i="59" s="1"/>
  <c r="G32" i="59"/>
  <c r="G34" i="59" s="1"/>
  <c r="G40" i="59" s="1"/>
  <c r="G15" i="59"/>
  <c r="G46" i="57"/>
  <c r="G48" i="57" s="1"/>
  <c r="M46" i="57"/>
  <c r="O46" i="57"/>
  <c r="I46" i="57"/>
  <c r="I48" i="57" s="1"/>
  <c r="P46" i="57"/>
  <c r="J46" i="57"/>
  <c r="K46" i="57"/>
  <c r="E30" i="56"/>
  <c r="E32" i="56" s="1"/>
  <c r="E33" i="56" s="1"/>
  <c r="F24" i="43"/>
  <c r="F25" i="43" s="1"/>
  <c r="F26" i="43" s="1"/>
  <c r="F27" i="43" s="1"/>
  <c r="D8" i="56"/>
  <c r="D31" i="56" s="1"/>
  <c r="D32" i="56" s="1"/>
  <c r="D33" i="56" s="1"/>
  <c r="D15" i="59"/>
  <c r="D16" i="59" s="1"/>
  <c r="S9" i="58"/>
  <c r="F7" i="56" s="1"/>
  <c r="F6" i="56"/>
  <c r="E15" i="59"/>
  <c r="E16" i="59" s="1"/>
  <c r="S10" i="58"/>
  <c r="F8" i="56" s="1"/>
  <c r="S8" i="59"/>
  <c r="S9" i="59" s="1"/>
  <c r="S18" i="59"/>
  <c r="C18" i="59" s="1"/>
  <c r="C17" i="59" s="1"/>
  <c r="S18" i="58"/>
  <c r="C18" i="58" s="1"/>
  <c r="C17" i="58" s="1"/>
  <c r="D48" i="43"/>
  <c r="S10" i="59"/>
  <c r="G8" i="56" s="1"/>
  <c r="G31" i="56" s="1"/>
  <c r="E15" i="58"/>
  <c r="E16" i="58" s="1"/>
  <c r="E16" i="43"/>
  <c r="E24" i="43"/>
  <c r="E25" i="43" s="1"/>
  <c r="E26" i="43" s="1"/>
  <c r="E27" i="43" s="1"/>
  <c r="C23" i="43"/>
  <c r="C9" i="59"/>
  <c r="D25" i="43"/>
  <c r="D26" i="43" s="1"/>
  <c r="D27" i="43" s="1"/>
  <c r="I20" i="36"/>
  <c r="J20" i="36" s="1"/>
  <c r="K20" i="36" s="1"/>
  <c r="L20" i="36" s="1"/>
  <c r="I24" i="36"/>
  <c r="K26" i="51"/>
  <c r="D21" i="58"/>
  <c r="G28" i="51"/>
  <c r="S21" i="59"/>
  <c r="D46" i="57"/>
  <c r="D48" i="57" s="1"/>
  <c r="C23" i="57" l="1"/>
  <c r="E51" i="56"/>
  <c r="N21" i="58"/>
  <c r="N46" i="58" s="1"/>
  <c r="M21" i="58"/>
  <c r="M46" i="58" s="1"/>
  <c r="Q21" i="58"/>
  <c r="Q46" i="58" s="1"/>
  <c r="C21" i="58"/>
  <c r="C23" i="58" s="1"/>
  <c r="E21" i="58"/>
  <c r="L21" i="58"/>
  <c r="L46" i="58" s="1"/>
  <c r="R21" i="58"/>
  <c r="R46" i="58" s="1"/>
  <c r="J21" i="58"/>
  <c r="J46" i="58" s="1"/>
  <c r="E23" i="57"/>
  <c r="E24" i="57" s="1"/>
  <c r="E25" i="57" s="1"/>
  <c r="E26" i="57" s="1"/>
  <c r="E27" i="57" s="1"/>
  <c r="J23" i="57"/>
  <c r="K47" i="57"/>
  <c r="K22" i="57" s="1"/>
  <c r="K47" i="58"/>
  <c r="K22" i="58" s="1"/>
  <c r="K22" i="61"/>
  <c r="K47" i="43"/>
  <c r="K22" i="43" s="1"/>
  <c r="K47" i="59"/>
  <c r="K22" i="59" s="1"/>
  <c r="H140" i="50"/>
  <c r="E127" i="50"/>
  <c r="L47" i="61" s="1"/>
  <c r="K44" i="58"/>
  <c r="K19" i="58" s="1"/>
  <c r="K44" i="43"/>
  <c r="K19" i="43" s="1"/>
  <c r="K19" i="61"/>
  <c r="K44" i="57"/>
  <c r="K19" i="57" s="1"/>
  <c r="K44" i="59"/>
  <c r="K19" i="59" s="1"/>
  <c r="H137" i="50"/>
  <c r="E124" i="50"/>
  <c r="L45" i="61" s="1"/>
  <c r="K45" i="59"/>
  <c r="K20" i="59" s="1"/>
  <c r="K45" i="43"/>
  <c r="K20" i="43" s="1"/>
  <c r="K45" i="58"/>
  <c r="K20" i="58" s="1"/>
  <c r="K20" i="61"/>
  <c r="K45" i="57"/>
  <c r="K20" i="57" s="1"/>
  <c r="H138" i="50"/>
  <c r="E125" i="50"/>
  <c r="L44" i="61" s="1"/>
  <c r="I24" i="43"/>
  <c r="I25" i="43" s="1"/>
  <c r="I26" i="43" s="1"/>
  <c r="I27" i="43" s="1"/>
  <c r="K43" i="58"/>
  <c r="K43" i="57"/>
  <c r="K43" i="59"/>
  <c r="K43" i="43"/>
  <c r="K17" i="43" s="1"/>
  <c r="K17" i="61"/>
  <c r="K23" i="61" s="1"/>
  <c r="K12" i="61"/>
  <c r="K37" i="59"/>
  <c r="K12" i="59" s="1"/>
  <c r="K37" i="58"/>
  <c r="K12" i="58" s="1"/>
  <c r="K37" i="43"/>
  <c r="K12" i="43" s="1"/>
  <c r="K37" i="57"/>
  <c r="K12" i="57" s="1"/>
  <c r="H134" i="50"/>
  <c r="E121" i="50"/>
  <c r="L43" i="61" s="1"/>
  <c r="H135" i="50"/>
  <c r="E122" i="50"/>
  <c r="L37" i="61" s="1"/>
  <c r="H136" i="50"/>
  <c r="E123" i="50"/>
  <c r="K11" i="61"/>
  <c r="K36" i="57"/>
  <c r="K11" i="57" s="1"/>
  <c r="K36" i="59"/>
  <c r="K11" i="59" s="1"/>
  <c r="K36" i="43"/>
  <c r="K11" i="43" s="1"/>
  <c r="K36" i="58"/>
  <c r="K11" i="58" s="1"/>
  <c r="K17" i="57"/>
  <c r="K23" i="57" s="1"/>
  <c r="H133" i="50"/>
  <c r="E120" i="50"/>
  <c r="L36" i="61" s="1"/>
  <c r="I16" i="61"/>
  <c r="I24" i="61"/>
  <c r="I25" i="61" s="1"/>
  <c r="I26" i="61" s="1"/>
  <c r="I27" i="61" s="1"/>
  <c r="J13" i="57"/>
  <c r="J40" i="57"/>
  <c r="J48" i="57" s="1"/>
  <c r="J40" i="58"/>
  <c r="H139" i="50"/>
  <c r="E126" i="50"/>
  <c r="L38" i="61" s="1"/>
  <c r="J16" i="61"/>
  <c r="J24" i="61"/>
  <c r="J25" i="61" s="1"/>
  <c r="J26" i="61" s="1"/>
  <c r="J27" i="61" s="1"/>
  <c r="J13" i="43"/>
  <c r="J40" i="43"/>
  <c r="J48" i="43" s="1"/>
  <c r="J48" i="58"/>
  <c r="K40" i="59"/>
  <c r="I48" i="58"/>
  <c r="K38" i="57"/>
  <c r="K38" i="59"/>
  <c r="K13" i="59" s="1"/>
  <c r="K14" i="59" s="1"/>
  <c r="K15" i="59" s="1"/>
  <c r="K16" i="59" s="1"/>
  <c r="K38" i="43"/>
  <c r="K38" i="58"/>
  <c r="K13" i="61"/>
  <c r="K40" i="61"/>
  <c r="K48" i="61" s="1"/>
  <c r="J14" i="59"/>
  <c r="J15" i="59" s="1"/>
  <c r="J16" i="59" s="1"/>
  <c r="F19" i="56"/>
  <c r="F21" i="58"/>
  <c r="F46" i="58" s="1"/>
  <c r="F48" i="58" s="1"/>
  <c r="G21" i="58"/>
  <c r="G46" i="58" s="1"/>
  <c r="G48" i="58" s="1"/>
  <c r="K21" i="58"/>
  <c r="K46" i="58" s="1"/>
  <c r="P21" i="58"/>
  <c r="P46" i="58" s="1"/>
  <c r="F23" i="57"/>
  <c r="F24" i="57" s="1"/>
  <c r="F25" i="57" s="1"/>
  <c r="F26" i="57" s="1"/>
  <c r="F27" i="57" s="1"/>
  <c r="I23" i="57"/>
  <c r="I24" i="57" s="1"/>
  <c r="I25" i="57" s="1"/>
  <c r="I26" i="57" s="1"/>
  <c r="I27" i="57" s="1"/>
  <c r="H46" i="57"/>
  <c r="H48" i="57" s="1"/>
  <c r="D21" i="59"/>
  <c r="M21" i="59"/>
  <c r="M46" i="59" s="1"/>
  <c r="K21" i="59"/>
  <c r="K46" i="59" s="1"/>
  <c r="O21" i="59"/>
  <c r="O46" i="59" s="1"/>
  <c r="R21" i="59"/>
  <c r="R46" i="59" s="1"/>
  <c r="H21" i="59"/>
  <c r="H46" i="59" s="1"/>
  <c r="H48" i="59" s="1"/>
  <c r="I21" i="59"/>
  <c r="I46" i="59" s="1"/>
  <c r="I48" i="59" s="1"/>
  <c r="G21" i="59"/>
  <c r="G46" i="59" s="1"/>
  <c r="G48" i="59" s="1"/>
  <c r="P21" i="59"/>
  <c r="P46" i="59" s="1"/>
  <c r="N21" i="59"/>
  <c r="N46" i="59" s="1"/>
  <c r="L21" i="59"/>
  <c r="L46" i="59" s="1"/>
  <c r="J21" i="59"/>
  <c r="J46" i="59" s="1"/>
  <c r="J48" i="59" s="1"/>
  <c r="Q21" i="59"/>
  <c r="Q46" i="59" s="1"/>
  <c r="D18" i="59"/>
  <c r="D17" i="59" s="1"/>
  <c r="M18" i="59"/>
  <c r="H18" i="59"/>
  <c r="H17" i="59" s="1"/>
  <c r="Q18" i="59"/>
  <c r="R18" i="59"/>
  <c r="L18" i="59"/>
  <c r="G18" i="59"/>
  <c r="G17" i="59" s="1"/>
  <c r="P18" i="59"/>
  <c r="K18" i="59"/>
  <c r="K17" i="59" s="1"/>
  <c r="J18" i="59"/>
  <c r="J17" i="59" s="1"/>
  <c r="N18" i="59"/>
  <c r="O18" i="59"/>
  <c r="I18" i="59"/>
  <c r="I17" i="59" s="1"/>
  <c r="D18" i="58"/>
  <c r="D17" i="58" s="1"/>
  <c r="D23" i="58" s="1"/>
  <c r="D24" i="58" s="1"/>
  <c r="J18" i="58"/>
  <c r="J17" i="58" s="1"/>
  <c r="J23" i="58" s="1"/>
  <c r="J24" i="58" s="1"/>
  <c r="J25" i="58" s="1"/>
  <c r="J26" i="58" s="1"/>
  <c r="J27" i="58" s="1"/>
  <c r="N18" i="58"/>
  <c r="I18" i="58"/>
  <c r="I17" i="58" s="1"/>
  <c r="I23" i="58" s="1"/>
  <c r="I24" i="58" s="1"/>
  <c r="I25" i="58" s="1"/>
  <c r="I26" i="58" s="1"/>
  <c r="I27" i="58" s="1"/>
  <c r="L18" i="58"/>
  <c r="M18" i="58"/>
  <c r="H18" i="58"/>
  <c r="H17" i="58" s="1"/>
  <c r="H23" i="58" s="1"/>
  <c r="H24" i="58" s="1"/>
  <c r="H25" i="58" s="1"/>
  <c r="H26" i="58" s="1"/>
  <c r="H27" i="58" s="1"/>
  <c r="Q18" i="58"/>
  <c r="R18" i="58"/>
  <c r="O18" i="58"/>
  <c r="G18" i="58"/>
  <c r="G17" i="58" s="1"/>
  <c r="G23" i="58" s="1"/>
  <c r="G24" i="58" s="1"/>
  <c r="G25" i="58" s="1"/>
  <c r="G26" i="58" s="1"/>
  <c r="G27" i="58" s="1"/>
  <c r="P18" i="58"/>
  <c r="K18" i="58"/>
  <c r="K17" i="58" s="1"/>
  <c r="G16" i="59"/>
  <c r="I16" i="59"/>
  <c r="H16" i="59"/>
  <c r="F30" i="56"/>
  <c r="G6" i="56"/>
  <c r="H6" i="56" s="1"/>
  <c r="G7" i="56"/>
  <c r="C32" i="59"/>
  <c r="C34" i="59" s="1"/>
  <c r="C21" i="59"/>
  <c r="C46" i="59" s="1"/>
  <c r="E18" i="58"/>
  <c r="E17" i="58" s="1"/>
  <c r="E23" i="58" s="1"/>
  <c r="E24" i="58" s="1"/>
  <c r="E25" i="58" s="1"/>
  <c r="E26" i="58" s="1"/>
  <c r="E27" i="58" s="1"/>
  <c r="F18" i="58"/>
  <c r="F17" i="58" s="1"/>
  <c r="E46" i="58"/>
  <c r="E48" i="58" s="1"/>
  <c r="E21" i="59"/>
  <c r="F21" i="59"/>
  <c r="G19" i="56"/>
  <c r="E18" i="59"/>
  <c r="E17" i="59" s="1"/>
  <c r="F18" i="59"/>
  <c r="F17" i="59" s="1"/>
  <c r="F31" i="56"/>
  <c r="H8" i="56"/>
  <c r="H31" i="56" s="1"/>
  <c r="F51" i="56"/>
  <c r="H28" i="51"/>
  <c r="D46" i="58"/>
  <c r="D48" i="58" s="1"/>
  <c r="F45" i="56"/>
  <c r="D46" i="59"/>
  <c r="D48" i="59" s="1"/>
  <c r="D26" i="57"/>
  <c r="D27" i="57" s="1"/>
  <c r="C46" i="58"/>
  <c r="L47" i="43" l="1"/>
  <c r="L22" i="43" s="1"/>
  <c r="L22" i="61"/>
  <c r="L47" i="58"/>
  <c r="L22" i="58" s="1"/>
  <c r="L47" i="59"/>
  <c r="L22" i="59" s="1"/>
  <c r="L47" i="57"/>
  <c r="L22" i="57" s="1"/>
  <c r="H153" i="50"/>
  <c r="E140" i="50"/>
  <c r="M47" i="61" s="1"/>
  <c r="L19" i="61"/>
  <c r="L44" i="57"/>
  <c r="L19" i="57" s="1"/>
  <c r="L44" i="58"/>
  <c r="L19" i="58" s="1"/>
  <c r="L44" i="59"/>
  <c r="L19" i="59" s="1"/>
  <c r="L44" i="43"/>
  <c r="L19" i="43" s="1"/>
  <c r="H151" i="50"/>
  <c r="E138" i="50"/>
  <c r="M44" i="61" s="1"/>
  <c r="L45" i="43"/>
  <c r="L20" i="43" s="1"/>
  <c r="L20" i="61"/>
  <c r="L45" i="59"/>
  <c r="L20" i="59" s="1"/>
  <c r="L45" i="57"/>
  <c r="L20" i="57" s="1"/>
  <c r="L45" i="58"/>
  <c r="L20" i="58" s="1"/>
  <c r="H150" i="50"/>
  <c r="E137" i="50"/>
  <c r="M45" i="61" s="1"/>
  <c r="H146" i="50"/>
  <c r="E133" i="50"/>
  <c r="M36" i="61" s="1"/>
  <c r="H149" i="50"/>
  <c r="E136" i="50"/>
  <c r="L43" i="59"/>
  <c r="L17" i="59" s="1"/>
  <c r="L43" i="58"/>
  <c r="L17" i="58" s="1"/>
  <c r="L43" i="43"/>
  <c r="L17" i="43" s="1"/>
  <c r="L23" i="43" s="1"/>
  <c r="L43" i="57"/>
  <c r="L17" i="57" s="1"/>
  <c r="L17" i="61"/>
  <c r="L23" i="61" s="1"/>
  <c r="L37" i="43"/>
  <c r="L12" i="43" s="1"/>
  <c r="L12" i="61"/>
  <c r="L37" i="58"/>
  <c r="L12" i="58" s="1"/>
  <c r="L37" i="59"/>
  <c r="L12" i="59" s="1"/>
  <c r="L37" i="57"/>
  <c r="L12" i="57" s="1"/>
  <c r="H147" i="50"/>
  <c r="E134" i="50"/>
  <c r="M43" i="61" s="1"/>
  <c r="K23" i="43"/>
  <c r="L11" i="61"/>
  <c r="L36" i="58"/>
  <c r="L11" i="58" s="1"/>
  <c r="L36" i="43"/>
  <c r="L11" i="43" s="1"/>
  <c r="L36" i="57"/>
  <c r="L11" i="57" s="1"/>
  <c r="L36" i="59"/>
  <c r="L11" i="59" s="1"/>
  <c r="H148" i="50"/>
  <c r="E135" i="50"/>
  <c r="M37" i="61" s="1"/>
  <c r="K13" i="43"/>
  <c r="K14" i="43" s="1"/>
  <c r="K15" i="43" s="1"/>
  <c r="K40" i="43"/>
  <c r="K48" i="43" s="1"/>
  <c r="J14" i="43"/>
  <c r="J15" i="43" s="1"/>
  <c r="L13" i="61"/>
  <c r="L14" i="61" s="1"/>
  <c r="L15" i="61" s="1"/>
  <c r="L38" i="57"/>
  <c r="L38" i="58"/>
  <c r="L38" i="43"/>
  <c r="L38" i="59"/>
  <c r="L40" i="61"/>
  <c r="L48" i="61" s="1"/>
  <c r="K48" i="59"/>
  <c r="K14" i="61"/>
  <c r="K15" i="61" s="1"/>
  <c r="H152" i="50"/>
  <c r="E139" i="50"/>
  <c r="M38" i="61" s="1"/>
  <c r="J14" i="57"/>
  <c r="J15" i="57" s="1"/>
  <c r="K13" i="58"/>
  <c r="K40" i="58"/>
  <c r="K48" i="58" s="1"/>
  <c r="K13" i="57"/>
  <c r="K14" i="57" s="1"/>
  <c r="K15" i="57" s="1"/>
  <c r="K40" i="57"/>
  <c r="K48" i="57" s="1"/>
  <c r="F32" i="56"/>
  <c r="F33" i="56" s="1"/>
  <c r="G51" i="56"/>
  <c r="F23" i="58"/>
  <c r="F24" i="58" s="1"/>
  <c r="F25" i="58" s="1"/>
  <c r="F26" i="58" s="1"/>
  <c r="F27" i="58" s="1"/>
  <c r="K23" i="58"/>
  <c r="I23" i="59"/>
  <c r="I24" i="59" s="1"/>
  <c r="I25" i="59" s="1"/>
  <c r="I26" i="59" s="1"/>
  <c r="I27" i="59" s="1"/>
  <c r="D23" i="59"/>
  <c r="D24" i="59" s="1"/>
  <c r="D25" i="59" s="1"/>
  <c r="G23" i="59"/>
  <c r="G24" i="59" s="1"/>
  <c r="G25" i="59" s="1"/>
  <c r="G26" i="59" s="1"/>
  <c r="G27" i="59" s="1"/>
  <c r="J23" i="59"/>
  <c r="J24" i="59" s="1"/>
  <c r="J25" i="59" s="1"/>
  <c r="J26" i="59" s="1"/>
  <c r="J27" i="59" s="1"/>
  <c r="K23" i="59"/>
  <c r="K24" i="59" s="1"/>
  <c r="K25" i="59" s="1"/>
  <c r="K26" i="59" s="1"/>
  <c r="K27" i="59" s="1"/>
  <c r="H23" i="59"/>
  <c r="H24" i="59" s="1"/>
  <c r="H25" i="59" s="1"/>
  <c r="H26" i="59" s="1"/>
  <c r="H27" i="59" s="1"/>
  <c r="G45" i="56"/>
  <c r="H7" i="56"/>
  <c r="G30" i="56"/>
  <c r="G32" i="56" s="1"/>
  <c r="G33" i="56" s="1"/>
  <c r="C23" i="59"/>
  <c r="F46" i="59"/>
  <c r="F48" i="59" s="1"/>
  <c r="F23" i="59"/>
  <c r="F24" i="59" s="1"/>
  <c r="F25" i="59" s="1"/>
  <c r="F26" i="59" s="1"/>
  <c r="F27" i="59" s="1"/>
  <c r="E46" i="59"/>
  <c r="E48" i="59" s="1"/>
  <c r="E23" i="59"/>
  <c r="E24" i="59" s="1"/>
  <c r="E25" i="59" s="1"/>
  <c r="E26" i="59" s="1"/>
  <c r="E27" i="59" s="1"/>
  <c r="D25" i="58"/>
  <c r="D26" i="58" s="1"/>
  <c r="D27" i="58" s="1"/>
  <c r="I28" i="51"/>
  <c r="M47" i="58" l="1"/>
  <c r="M22" i="58" s="1"/>
  <c r="M47" i="59"/>
  <c r="M22" i="59" s="1"/>
  <c r="M22" i="61"/>
  <c r="M47" i="57"/>
  <c r="M22" i="57" s="1"/>
  <c r="M47" i="43"/>
  <c r="M22" i="43" s="1"/>
  <c r="H166" i="50"/>
  <c r="E153" i="50"/>
  <c r="N47" i="61" s="1"/>
  <c r="H164" i="50"/>
  <c r="E151" i="50"/>
  <c r="N44" i="61" s="1"/>
  <c r="M45" i="57"/>
  <c r="M20" i="57" s="1"/>
  <c r="M45" i="59"/>
  <c r="M20" i="59" s="1"/>
  <c r="M45" i="58"/>
  <c r="M20" i="58" s="1"/>
  <c r="M20" i="61"/>
  <c r="M45" i="43"/>
  <c r="M20" i="43" s="1"/>
  <c r="H163" i="50"/>
  <c r="E150" i="50"/>
  <c r="N45" i="61" s="1"/>
  <c r="M44" i="59"/>
  <c r="M19" i="59" s="1"/>
  <c r="M44" i="43"/>
  <c r="M19" i="43" s="1"/>
  <c r="M44" i="58"/>
  <c r="M19" i="58" s="1"/>
  <c r="M19" i="61"/>
  <c r="M44" i="57"/>
  <c r="M19" i="57" s="1"/>
  <c r="L23" i="58"/>
  <c r="L23" i="59"/>
  <c r="H161" i="50"/>
  <c r="E148" i="50"/>
  <c r="N37" i="61" s="1"/>
  <c r="M43" i="57"/>
  <c r="M17" i="57" s="1"/>
  <c r="M23" i="57" s="1"/>
  <c r="M43" i="59"/>
  <c r="M17" i="59" s="1"/>
  <c r="M23" i="59" s="1"/>
  <c r="M43" i="43"/>
  <c r="M17" i="43" s="1"/>
  <c r="M43" i="58"/>
  <c r="M17" i="58" s="1"/>
  <c r="M23" i="58" s="1"/>
  <c r="M17" i="61"/>
  <c r="M23" i="61" s="1"/>
  <c r="L23" i="57"/>
  <c r="M36" i="59"/>
  <c r="M11" i="59" s="1"/>
  <c r="M36" i="43"/>
  <c r="M11" i="43" s="1"/>
  <c r="M36" i="58"/>
  <c r="M11" i="58" s="1"/>
  <c r="M11" i="61"/>
  <c r="M36" i="57"/>
  <c r="M11" i="57" s="1"/>
  <c r="H160" i="50"/>
  <c r="E147" i="50"/>
  <c r="N43" i="61" s="1"/>
  <c r="H159" i="50"/>
  <c r="E146" i="50"/>
  <c r="N36" i="61" s="1"/>
  <c r="M37" i="58"/>
  <c r="M12" i="58" s="1"/>
  <c r="M12" i="61"/>
  <c r="M37" i="59"/>
  <c r="M12" i="59" s="1"/>
  <c r="M37" i="57"/>
  <c r="M12" i="57" s="1"/>
  <c r="M37" i="43"/>
  <c r="M12" i="43" s="1"/>
  <c r="H162" i="50"/>
  <c r="E149" i="50"/>
  <c r="J16" i="57"/>
  <c r="J24" i="57"/>
  <c r="J25" i="57" s="1"/>
  <c r="J26" i="57" s="1"/>
  <c r="J27" i="57" s="1"/>
  <c r="L13" i="59"/>
  <c r="L40" i="59"/>
  <c r="L48" i="59" s="1"/>
  <c r="L13" i="57"/>
  <c r="L14" i="57" s="1"/>
  <c r="L15" i="57" s="1"/>
  <c r="L40" i="57"/>
  <c r="L48" i="57" s="1"/>
  <c r="K14" i="58"/>
  <c r="K15" i="58" s="1"/>
  <c r="K16" i="58" s="1"/>
  <c r="H165" i="50"/>
  <c r="E152" i="50"/>
  <c r="N38" i="61" s="1"/>
  <c r="L13" i="58"/>
  <c r="L14" i="58" s="1"/>
  <c r="L15" i="58" s="1"/>
  <c r="L40" i="58"/>
  <c r="L48" i="58" s="1"/>
  <c r="K16" i="43"/>
  <c r="K24" i="43"/>
  <c r="K25" i="43" s="1"/>
  <c r="K26" i="43" s="1"/>
  <c r="K27" i="43" s="1"/>
  <c r="K16" i="57"/>
  <c r="K24" i="57"/>
  <c r="K25" i="57" s="1"/>
  <c r="K26" i="57" s="1"/>
  <c r="K27" i="57" s="1"/>
  <c r="J16" i="43"/>
  <c r="J24" i="43"/>
  <c r="J25" i="43" s="1"/>
  <c r="J26" i="43" s="1"/>
  <c r="J27" i="43" s="1"/>
  <c r="M38" i="43"/>
  <c r="M13" i="61"/>
  <c r="M38" i="57"/>
  <c r="M38" i="59"/>
  <c r="M38" i="58"/>
  <c r="M40" i="61"/>
  <c r="M48" i="61" s="1"/>
  <c r="K16" i="61"/>
  <c r="K24" i="61"/>
  <c r="K25" i="61" s="1"/>
  <c r="K26" i="61" s="1"/>
  <c r="K27" i="61" s="1"/>
  <c r="L13" i="43"/>
  <c r="L40" i="43"/>
  <c r="L48" i="43" s="1"/>
  <c r="L16" i="61"/>
  <c r="L24" i="61"/>
  <c r="L25" i="61" s="1"/>
  <c r="L26" i="61" s="1"/>
  <c r="L27" i="61" s="1"/>
  <c r="D26" i="59"/>
  <c r="D27" i="59" s="1"/>
  <c r="H30" i="56"/>
  <c r="H32" i="56" s="1"/>
  <c r="H33" i="56" s="1"/>
  <c r="J28" i="51"/>
  <c r="K27" i="51"/>
  <c r="K28" i="51" s="1"/>
  <c r="K24" i="58" l="1"/>
  <c r="K25" i="58" s="1"/>
  <c r="K26" i="58" s="1"/>
  <c r="K27" i="58" s="1"/>
  <c r="N47" i="58"/>
  <c r="N22" i="58" s="1"/>
  <c r="N22" i="61"/>
  <c r="N47" i="43"/>
  <c r="N22" i="43" s="1"/>
  <c r="N47" i="59"/>
  <c r="N22" i="59" s="1"/>
  <c r="N47" i="57"/>
  <c r="N22" i="57" s="1"/>
  <c r="H179" i="50"/>
  <c r="E166" i="50"/>
  <c r="O47" i="61" s="1"/>
  <c r="M23" i="43"/>
  <c r="H177" i="50"/>
  <c r="E164" i="50"/>
  <c r="O44" i="61" s="1"/>
  <c r="N20" i="61"/>
  <c r="N45" i="58"/>
  <c r="N20" i="58" s="1"/>
  <c r="N45" i="43"/>
  <c r="N20" i="43" s="1"/>
  <c r="N45" i="59"/>
  <c r="N20" i="59" s="1"/>
  <c r="N45" i="57"/>
  <c r="N20" i="57" s="1"/>
  <c r="H176" i="50"/>
  <c r="E163" i="50"/>
  <c r="O45" i="61" s="1"/>
  <c r="N44" i="59"/>
  <c r="N19" i="59" s="1"/>
  <c r="N44" i="43"/>
  <c r="N19" i="43" s="1"/>
  <c r="N44" i="57"/>
  <c r="N19" i="57" s="1"/>
  <c r="N19" i="61"/>
  <c r="N44" i="58"/>
  <c r="N19" i="58" s="1"/>
  <c r="N43" i="58"/>
  <c r="N17" i="58" s="1"/>
  <c r="N43" i="59"/>
  <c r="N17" i="59" s="1"/>
  <c r="N23" i="59" s="1"/>
  <c r="N43" i="57"/>
  <c r="N17" i="57" s="1"/>
  <c r="N43" i="43"/>
  <c r="N17" i="43" s="1"/>
  <c r="N17" i="61"/>
  <c r="N23" i="61" s="1"/>
  <c r="N12" i="61"/>
  <c r="N37" i="58"/>
  <c r="N12" i="58" s="1"/>
  <c r="N37" i="43"/>
  <c r="N12" i="43" s="1"/>
  <c r="N37" i="57"/>
  <c r="N12" i="57" s="1"/>
  <c r="N37" i="59"/>
  <c r="N12" i="59" s="1"/>
  <c r="H175" i="50"/>
  <c r="E162" i="50"/>
  <c r="N11" i="61"/>
  <c r="N36" i="58"/>
  <c r="N11" i="58" s="1"/>
  <c r="N36" i="43"/>
  <c r="N11" i="43" s="1"/>
  <c r="N36" i="57"/>
  <c r="N11" i="57" s="1"/>
  <c r="N36" i="59"/>
  <c r="N11" i="59" s="1"/>
  <c r="H173" i="50"/>
  <c r="E160" i="50"/>
  <c r="O43" i="61" s="1"/>
  <c r="H174" i="50"/>
  <c r="E161" i="50"/>
  <c r="O37" i="61" s="1"/>
  <c r="H172" i="50"/>
  <c r="E159" i="50"/>
  <c r="O36" i="61" s="1"/>
  <c r="M13" i="58"/>
  <c r="M14" i="58" s="1"/>
  <c r="M15" i="58" s="1"/>
  <c r="M40" i="58"/>
  <c r="M48" i="58" s="1"/>
  <c r="M13" i="59"/>
  <c r="M14" i="59" s="1"/>
  <c r="M15" i="59" s="1"/>
  <c r="M40" i="59"/>
  <c r="M48" i="59" s="1"/>
  <c r="M13" i="43"/>
  <c r="M14" i="43" s="1"/>
  <c r="M15" i="43" s="1"/>
  <c r="M40" i="43"/>
  <c r="M48" i="43" s="1"/>
  <c r="N38" i="59"/>
  <c r="N38" i="57"/>
  <c r="N38" i="58"/>
  <c r="N38" i="43"/>
  <c r="N13" i="61"/>
  <c r="N14" i="61" s="1"/>
  <c r="N15" i="61" s="1"/>
  <c r="N40" i="61"/>
  <c r="N48" i="61" s="1"/>
  <c r="L14" i="43"/>
  <c r="L15" i="43" s="1"/>
  <c r="M13" i="57"/>
  <c r="M40" i="57"/>
  <c r="M48" i="57" s="1"/>
  <c r="H178" i="50"/>
  <c r="E165" i="50"/>
  <c r="O38" i="61" s="1"/>
  <c r="L14" i="59"/>
  <c r="L15" i="59" s="1"/>
  <c r="M14" i="61"/>
  <c r="M15" i="61" s="1"/>
  <c r="L16" i="58"/>
  <c r="L24" i="58"/>
  <c r="L25" i="58" s="1"/>
  <c r="L26" i="58" s="1"/>
  <c r="L27" i="58" s="1"/>
  <c r="L16" i="57"/>
  <c r="L24" i="57"/>
  <c r="L25" i="57" s="1"/>
  <c r="L26" i="57" s="1"/>
  <c r="L27" i="57" s="1"/>
  <c r="C36" i="61"/>
  <c r="O22" i="61" l="1"/>
  <c r="O47" i="57"/>
  <c r="O22" i="57" s="1"/>
  <c r="O47" i="59"/>
  <c r="O22" i="59" s="1"/>
  <c r="O47" i="43"/>
  <c r="O22" i="43" s="1"/>
  <c r="O47" i="58"/>
  <c r="O22" i="58" s="1"/>
  <c r="H192" i="50"/>
  <c r="E179" i="50"/>
  <c r="P47" i="61" s="1"/>
  <c r="N23" i="43"/>
  <c r="N23" i="58"/>
  <c r="O45" i="57"/>
  <c r="O20" i="57" s="1"/>
  <c r="O45" i="59"/>
  <c r="O20" i="59" s="1"/>
  <c r="O45" i="43"/>
  <c r="O20" i="43" s="1"/>
  <c r="O45" i="58"/>
  <c r="O20" i="58" s="1"/>
  <c r="O20" i="61"/>
  <c r="O44" i="59"/>
  <c r="O19" i="59" s="1"/>
  <c r="O44" i="43"/>
  <c r="O19" i="43" s="1"/>
  <c r="O44" i="58"/>
  <c r="O19" i="58" s="1"/>
  <c r="O19" i="61"/>
  <c r="O44" i="57"/>
  <c r="O19" i="57" s="1"/>
  <c r="H189" i="50"/>
  <c r="E176" i="50"/>
  <c r="P45" i="61" s="1"/>
  <c r="H190" i="50"/>
  <c r="E177" i="50"/>
  <c r="P44" i="61" s="1"/>
  <c r="O36" i="58"/>
  <c r="O11" i="58" s="1"/>
  <c r="O11" i="61"/>
  <c r="O36" i="57"/>
  <c r="O11" i="57" s="1"/>
  <c r="O36" i="59"/>
  <c r="O11" i="59" s="1"/>
  <c r="O36" i="43"/>
  <c r="O11" i="43" s="1"/>
  <c r="O43" i="57"/>
  <c r="O17" i="57" s="1"/>
  <c r="O23" i="57" s="1"/>
  <c r="O43" i="59"/>
  <c r="O17" i="59" s="1"/>
  <c r="O43" i="43"/>
  <c r="O17" i="43" s="1"/>
  <c r="O43" i="58"/>
  <c r="O17" i="58" s="1"/>
  <c r="O17" i="61"/>
  <c r="O23" i="61" s="1"/>
  <c r="H185" i="50"/>
  <c r="E172" i="50"/>
  <c r="P36" i="61" s="1"/>
  <c r="O37" i="57"/>
  <c r="O12" i="57" s="1"/>
  <c r="O12" i="61"/>
  <c r="O37" i="59"/>
  <c r="O12" i="59" s="1"/>
  <c r="O37" i="43"/>
  <c r="O12" i="43" s="1"/>
  <c r="O37" i="58"/>
  <c r="O12" i="58" s="1"/>
  <c r="H186" i="50"/>
  <c r="E173" i="50"/>
  <c r="P43" i="61" s="1"/>
  <c r="H187" i="50"/>
  <c r="E174" i="50"/>
  <c r="P37" i="61" s="1"/>
  <c r="H188" i="50"/>
  <c r="E175" i="50"/>
  <c r="N23" i="57"/>
  <c r="H191" i="50"/>
  <c r="E178" i="50"/>
  <c r="P38" i="61" s="1"/>
  <c r="M16" i="59"/>
  <c r="M24" i="59"/>
  <c r="M25" i="59" s="1"/>
  <c r="M26" i="59" s="1"/>
  <c r="M27" i="59" s="1"/>
  <c r="L16" i="59"/>
  <c r="L24" i="59"/>
  <c r="L25" i="59" s="1"/>
  <c r="L26" i="59" s="1"/>
  <c r="L27" i="59" s="1"/>
  <c r="L16" i="43"/>
  <c r="L24" i="43"/>
  <c r="L25" i="43" s="1"/>
  <c r="L26" i="43" s="1"/>
  <c r="L27" i="43" s="1"/>
  <c r="N16" i="61"/>
  <c r="N24" i="61"/>
  <c r="N25" i="61" s="1"/>
  <c r="N26" i="61" s="1"/>
  <c r="N27" i="61" s="1"/>
  <c r="N13" i="57"/>
  <c r="N14" i="57" s="1"/>
  <c r="N15" i="57" s="1"/>
  <c r="N40" i="57"/>
  <c r="N48" i="57" s="1"/>
  <c r="M16" i="43"/>
  <c r="M24" i="43"/>
  <c r="M25" i="43" s="1"/>
  <c r="M26" i="43" s="1"/>
  <c r="M27" i="43" s="1"/>
  <c r="N13" i="58"/>
  <c r="N40" i="58"/>
  <c r="N48" i="58" s="1"/>
  <c r="M16" i="61"/>
  <c r="M24" i="61"/>
  <c r="M25" i="61" s="1"/>
  <c r="M26" i="61" s="1"/>
  <c r="M27" i="61" s="1"/>
  <c r="O38" i="59"/>
  <c r="O38" i="43"/>
  <c r="O38" i="58"/>
  <c r="O13" i="61"/>
  <c r="O38" i="57"/>
  <c r="O40" i="61"/>
  <c r="O48" i="61" s="1"/>
  <c r="M14" i="57"/>
  <c r="M15" i="57" s="1"/>
  <c r="N13" i="43"/>
  <c r="N40" i="43"/>
  <c r="N48" i="43" s="1"/>
  <c r="N13" i="59"/>
  <c r="N40" i="59"/>
  <c r="N48" i="59" s="1"/>
  <c r="M16" i="58"/>
  <c r="M24" i="58"/>
  <c r="M25" i="58" s="1"/>
  <c r="M26" i="58" s="1"/>
  <c r="M27" i="58" s="1"/>
  <c r="C40" i="61"/>
  <c r="C36" i="59"/>
  <c r="C11" i="59" s="1"/>
  <c r="C36" i="58"/>
  <c r="C11" i="58" s="1"/>
  <c r="C36" i="57"/>
  <c r="C40" i="57" s="1"/>
  <c r="C48" i="57" s="1"/>
  <c r="C36" i="43"/>
  <c r="C11" i="43" s="1"/>
  <c r="C11" i="61"/>
  <c r="C11" i="57"/>
  <c r="P47" i="57" l="1"/>
  <c r="P22" i="57" s="1"/>
  <c r="P47" i="43"/>
  <c r="P22" i="43" s="1"/>
  <c r="P47" i="59"/>
  <c r="P22" i="59" s="1"/>
  <c r="P22" i="61"/>
  <c r="P47" i="58"/>
  <c r="P22" i="58" s="1"/>
  <c r="H205" i="50"/>
  <c r="E205" i="50" s="1"/>
  <c r="R47" i="61" s="1"/>
  <c r="E192" i="50"/>
  <c r="Q47" i="61" s="1"/>
  <c r="H203" i="50"/>
  <c r="E203" i="50" s="1"/>
  <c r="R44" i="61" s="1"/>
  <c r="E190" i="50"/>
  <c r="Q44" i="61" s="1"/>
  <c r="P45" i="58"/>
  <c r="P20" i="58" s="1"/>
  <c r="P20" i="61"/>
  <c r="P45" i="59"/>
  <c r="P20" i="59" s="1"/>
  <c r="P45" i="43"/>
  <c r="P20" i="43" s="1"/>
  <c r="P45" i="57"/>
  <c r="P20" i="57" s="1"/>
  <c r="P44" i="57"/>
  <c r="P19" i="57" s="1"/>
  <c r="P44" i="59"/>
  <c r="P19" i="59" s="1"/>
  <c r="P44" i="43"/>
  <c r="P19" i="43" s="1"/>
  <c r="P44" i="58"/>
  <c r="P19" i="58" s="1"/>
  <c r="P19" i="61"/>
  <c r="H202" i="50"/>
  <c r="E202" i="50" s="1"/>
  <c r="R45" i="61" s="1"/>
  <c r="E189" i="50"/>
  <c r="Q45" i="61" s="1"/>
  <c r="P37" i="57"/>
  <c r="P12" i="57" s="1"/>
  <c r="P37" i="58"/>
  <c r="P12" i="58" s="1"/>
  <c r="P37" i="59"/>
  <c r="P12" i="59" s="1"/>
  <c r="P37" i="43"/>
  <c r="P12" i="43" s="1"/>
  <c r="P12" i="61"/>
  <c r="H199" i="50"/>
  <c r="E199" i="50" s="1"/>
  <c r="R43" i="61" s="1"/>
  <c r="E186" i="50"/>
  <c r="Q43" i="61" s="1"/>
  <c r="P36" i="57"/>
  <c r="P11" i="57" s="1"/>
  <c r="P36" i="59"/>
  <c r="P11" i="59" s="1"/>
  <c r="P36" i="58"/>
  <c r="P11" i="58" s="1"/>
  <c r="P36" i="43"/>
  <c r="P11" i="43" s="1"/>
  <c r="P11" i="61"/>
  <c r="O23" i="58"/>
  <c r="H200" i="50"/>
  <c r="E200" i="50" s="1"/>
  <c r="R37" i="61" s="1"/>
  <c r="E187" i="50"/>
  <c r="Q37" i="61" s="1"/>
  <c r="H198" i="50"/>
  <c r="E198" i="50" s="1"/>
  <c r="R36" i="61" s="1"/>
  <c r="E185" i="50"/>
  <c r="Q36" i="61" s="1"/>
  <c r="O23" i="43"/>
  <c r="H201" i="50"/>
  <c r="E201" i="50" s="1"/>
  <c r="E188" i="50"/>
  <c r="P43" i="58"/>
  <c r="P17" i="58" s="1"/>
  <c r="P23" i="58" s="1"/>
  <c r="P43" i="43"/>
  <c r="P17" i="43" s="1"/>
  <c r="P23" i="43" s="1"/>
  <c r="P43" i="59"/>
  <c r="P17" i="59" s="1"/>
  <c r="P23" i="59" s="1"/>
  <c r="P43" i="57"/>
  <c r="P17" i="57" s="1"/>
  <c r="P17" i="61"/>
  <c r="P23" i="61" s="1"/>
  <c r="O23" i="59"/>
  <c r="O13" i="57"/>
  <c r="O40" i="57"/>
  <c r="O48" i="57" s="1"/>
  <c r="O13" i="43"/>
  <c r="O14" i="43" s="1"/>
  <c r="O15" i="43" s="1"/>
  <c r="O40" i="43"/>
  <c r="O48" i="43" s="1"/>
  <c r="N16" i="57"/>
  <c r="N24" i="57"/>
  <c r="N25" i="57" s="1"/>
  <c r="N26" i="57" s="1"/>
  <c r="N27" i="57" s="1"/>
  <c r="P38" i="58"/>
  <c r="P13" i="61"/>
  <c r="P14" i="61" s="1"/>
  <c r="P15" i="61" s="1"/>
  <c r="P38" i="57"/>
  <c r="P38" i="59"/>
  <c r="P38" i="43"/>
  <c r="P40" i="61"/>
  <c r="P48" i="61" s="1"/>
  <c r="N14" i="43"/>
  <c r="N15" i="43" s="1"/>
  <c r="O13" i="58"/>
  <c r="O14" i="58" s="1"/>
  <c r="O15" i="58" s="1"/>
  <c r="O40" i="58"/>
  <c r="O48" i="58" s="1"/>
  <c r="N14" i="58"/>
  <c r="N15" i="58" s="1"/>
  <c r="N14" i="59"/>
  <c r="N15" i="59" s="1"/>
  <c r="M16" i="57"/>
  <c r="M24" i="57"/>
  <c r="M25" i="57" s="1"/>
  <c r="M26" i="57" s="1"/>
  <c r="M27" i="57" s="1"/>
  <c r="O14" i="61"/>
  <c r="O15" i="61" s="1"/>
  <c r="O13" i="59"/>
  <c r="O14" i="59" s="1"/>
  <c r="O15" i="59" s="1"/>
  <c r="O40" i="59"/>
  <c r="O48" i="59" s="1"/>
  <c r="H204" i="50"/>
  <c r="E204" i="50" s="1"/>
  <c r="R38" i="61" s="1"/>
  <c r="E191" i="50"/>
  <c r="Q38" i="61" s="1"/>
  <c r="C40" i="59"/>
  <c r="C48" i="59" s="1"/>
  <c r="C40" i="43"/>
  <c r="C48" i="43" s="1"/>
  <c r="C14" i="59"/>
  <c r="C15" i="59" s="1"/>
  <c r="C16" i="59" s="1"/>
  <c r="C14" i="61"/>
  <c r="C15" i="61" s="1"/>
  <c r="C40" i="58"/>
  <c r="C48" i="58" s="1"/>
  <c r="C14" i="43"/>
  <c r="C15" i="43" s="1"/>
  <c r="C16" i="43" s="1"/>
  <c r="C14" i="58"/>
  <c r="C14" i="57"/>
  <c r="R47" i="59" l="1"/>
  <c r="R22" i="59" s="1"/>
  <c r="R22" i="61"/>
  <c r="R47" i="58"/>
  <c r="R22" i="58" s="1"/>
  <c r="R47" i="57"/>
  <c r="R22" i="57" s="1"/>
  <c r="R47" i="43"/>
  <c r="R22" i="43" s="1"/>
  <c r="Q22" i="61"/>
  <c r="Q47" i="59"/>
  <c r="Q22" i="59" s="1"/>
  <c r="Q47" i="43"/>
  <c r="Q22" i="43" s="1"/>
  <c r="Q47" i="57"/>
  <c r="Q22" i="57" s="1"/>
  <c r="Q47" i="58"/>
  <c r="Q22" i="58" s="1"/>
  <c r="Q45" i="59"/>
  <c r="Q20" i="59" s="1"/>
  <c r="Q45" i="58"/>
  <c r="Q20" i="58" s="1"/>
  <c r="Q45" i="43"/>
  <c r="Q20" i="43" s="1"/>
  <c r="Q20" i="61"/>
  <c r="Q45" i="57"/>
  <c r="Q20" i="57" s="1"/>
  <c r="Q44" i="43"/>
  <c r="Q19" i="43" s="1"/>
  <c r="Q44" i="59"/>
  <c r="Q19" i="59" s="1"/>
  <c r="Q44" i="57"/>
  <c r="Q19" i="57" s="1"/>
  <c r="Q44" i="58"/>
  <c r="Q19" i="58" s="1"/>
  <c r="Q19" i="61"/>
  <c r="R45" i="59"/>
  <c r="R20" i="59" s="1"/>
  <c r="S20" i="59" s="1"/>
  <c r="G18" i="56" s="1"/>
  <c r="R20" i="61"/>
  <c r="S20" i="61" s="1"/>
  <c r="C18" i="56" s="1"/>
  <c r="R45" i="57"/>
  <c r="R20" i="57" s="1"/>
  <c r="R45" i="43"/>
  <c r="R20" i="43" s="1"/>
  <c r="S20" i="43" s="1"/>
  <c r="D18" i="56" s="1"/>
  <c r="R45" i="58"/>
  <c r="R20" i="58" s="1"/>
  <c r="S20" i="58" s="1"/>
  <c r="F18" i="56" s="1"/>
  <c r="R44" i="57"/>
  <c r="R19" i="57" s="1"/>
  <c r="S19" i="57" s="1"/>
  <c r="E17" i="56" s="1"/>
  <c r="E43" i="56" s="1"/>
  <c r="R44" i="43"/>
  <c r="R19" i="43" s="1"/>
  <c r="S19" i="43" s="1"/>
  <c r="D17" i="56" s="1"/>
  <c r="D43" i="56" s="1"/>
  <c r="R44" i="58"/>
  <c r="R19" i="58" s="1"/>
  <c r="S19" i="58" s="1"/>
  <c r="F17" i="56" s="1"/>
  <c r="F43" i="56" s="1"/>
  <c r="R19" i="61"/>
  <c r="S19" i="61" s="1"/>
  <c r="C17" i="56" s="1"/>
  <c r="R44" i="59"/>
  <c r="R19" i="59" s="1"/>
  <c r="S19" i="59" s="1"/>
  <c r="G17" i="56" s="1"/>
  <c r="G43" i="56" s="1"/>
  <c r="R36" i="57"/>
  <c r="R11" i="57" s="1"/>
  <c r="R36" i="59"/>
  <c r="R11" i="59" s="1"/>
  <c r="R36" i="43"/>
  <c r="R11" i="43" s="1"/>
  <c r="R36" i="58"/>
  <c r="R11" i="58" s="1"/>
  <c r="R11" i="61"/>
  <c r="P23" i="57"/>
  <c r="Q37" i="59"/>
  <c r="Q12" i="59" s="1"/>
  <c r="Q37" i="43"/>
  <c r="Q12" i="43" s="1"/>
  <c r="Q37" i="57"/>
  <c r="Q12" i="57" s="1"/>
  <c r="Q37" i="58"/>
  <c r="Q12" i="58" s="1"/>
  <c r="Q12" i="61"/>
  <c r="Q43" i="57"/>
  <c r="Q17" i="57" s="1"/>
  <c r="Q23" i="57" s="1"/>
  <c r="Q43" i="59"/>
  <c r="Q17" i="59" s="1"/>
  <c r="Q43" i="58"/>
  <c r="Q17" i="58" s="1"/>
  <c r="Q23" i="58" s="1"/>
  <c r="Q43" i="43"/>
  <c r="Q17" i="43" s="1"/>
  <c r="Q23" i="43" s="1"/>
  <c r="Q17" i="61"/>
  <c r="Q23" i="61" s="1"/>
  <c r="Q36" i="58"/>
  <c r="Q11" i="58" s="1"/>
  <c r="S11" i="58" s="1"/>
  <c r="F9" i="56" s="1"/>
  <c r="Q36" i="43"/>
  <c r="Q11" i="43" s="1"/>
  <c r="S11" i="43" s="1"/>
  <c r="D9" i="56" s="1"/>
  <c r="Q36" i="57"/>
  <c r="Q11" i="57" s="1"/>
  <c r="S11" i="57" s="1"/>
  <c r="E9" i="56" s="1"/>
  <c r="Q36" i="59"/>
  <c r="Q11" i="59" s="1"/>
  <c r="Q11" i="61"/>
  <c r="S11" i="61" s="1"/>
  <c r="R37" i="59"/>
  <c r="R12" i="59" s="1"/>
  <c r="S12" i="59" s="1"/>
  <c r="G10" i="56" s="1"/>
  <c r="G36" i="56" s="1"/>
  <c r="R37" i="43"/>
  <c r="R12" i="43" s="1"/>
  <c r="S12" i="43" s="1"/>
  <c r="D10" i="56" s="1"/>
  <c r="D36" i="56" s="1"/>
  <c r="R37" i="58"/>
  <c r="R12" i="58" s="1"/>
  <c r="S12" i="58" s="1"/>
  <c r="F10" i="56" s="1"/>
  <c r="F36" i="56" s="1"/>
  <c r="R12" i="61"/>
  <c r="S12" i="61" s="1"/>
  <c r="C10" i="56" s="1"/>
  <c r="R37" i="57"/>
  <c r="R12" i="57" s="1"/>
  <c r="R43" i="57"/>
  <c r="R17" i="57" s="1"/>
  <c r="R23" i="57" s="1"/>
  <c r="R43" i="59"/>
  <c r="R17" i="59" s="1"/>
  <c r="R43" i="43"/>
  <c r="R17" i="43" s="1"/>
  <c r="R23" i="43" s="1"/>
  <c r="R43" i="58"/>
  <c r="R17" i="58" s="1"/>
  <c r="R23" i="58" s="1"/>
  <c r="R17" i="61"/>
  <c r="R23" i="61" s="1"/>
  <c r="Q13" i="61"/>
  <c r="Q38" i="57"/>
  <c r="Q38" i="58"/>
  <c r="Q38" i="43"/>
  <c r="Q38" i="59"/>
  <c r="Q40" i="61"/>
  <c r="Q48" i="61" s="1"/>
  <c r="O16" i="59"/>
  <c r="O24" i="59"/>
  <c r="O25" i="59" s="1"/>
  <c r="O26" i="59" s="1"/>
  <c r="O27" i="59" s="1"/>
  <c r="N16" i="59"/>
  <c r="N24" i="59"/>
  <c r="N25" i="59" s="1"/>
  <c r="N26" i="59" s="1"/>
  <c r="N27" i="59" s="1"/>
  <c r="N16" i="58"/>
  <c r="N24" i="58"/>
  <c r="N25" i="58" s="1"/>
  <c r="N26" i="58" s="1"/>
  <c r="N27" i="58" s="1"/>
  <c r="P13" i="57"/>
  <c r="P14" i="57" s="1"/>
  <c r="P15" i="57" s="1"/>
  <c r="P40" i="57"/>
  <c r="P48" i="57" s="1"/>
  <c r="O16" i="43"/>
  <c r="O24" i="43"/>
  <c r="O25" i="43" s="1"/>
  <c r="O26" i="43" s="1"/>
  <c r="O27" i="43" s="1"/>
  <c r="R38" i="57"/>
  <c r="R38" i="59"/>
  <c r="R38" i="43"/>
  <c r="R38" i="58"/>
  <c r="R13" i="61"/>
  <c r="R40" i="61"/>
  <c r="R48" i="61" s="1"/>
  <c r="N16" i="43"/>
  <c r="N24" i="43"/>
  <c r="N25" i="43" s="1"/>
  <c r="N26" i="43" s="1"/>
  <c r="N27" i="43" s="1"/>
  <c r="P13" i="43"/>
  <c r="P40" i="43"/>
  <c r="P48" i="43" s="1"/>
  <c r="P16" i="61"/>
  <c r="P24" i="61"/>
  <c r="P25" i="61" s="1"/>
  <c r="P26" i="61" s="1"/>
  <c r="P27" i="61" s="1"/>
  <c r="O16" i="61"/>
  <c r="O24" i="61"/>
  <c r="O25" i="61" s="1"/>
  <c r="O26" i="61" s="1"/>
  <c r="O27" i="61" s="1"/>
  <c r="O16" i="58"/>
  <c r="O24" i="58"/>
  <c r="O25" i="58" s="1"/>
  <c r="O26" i="58" s="1"/>
  <c r="O27" i="58" s="1"/>
  <c r="P13" i="59"/>
  <c r="P14" i="59" s="1"/>
  <c r="P15" i="59" s="1"/>
  <c r="P40" i="59"/>
  <c r="P48" i="59" s="1"/>
  <c r="P13" i="58"/>
  <c r="P40" i="58"/>
  <c r="P48" i="58" s="1"/>
  <c r="O14" i="57"/>
  <c r="O15" i="57" s="1"/>
  <c r="C9" i="56"/>
  <c r="C24" i="59"/>
  <c r="C25" i="59" s="1"/>
  <c r="C24" i="43"/>
  <c r="C25" i="43" s="1"/>
  <c r="C15" i="57"/>
  <c r="C15" i="58"/>
  <c r="C16" i="61"/>
  <c r="F35" i="56"/>
  <c r="E35" i="56"/>
  <c r="S22" i="58" l="1"/>
  <c r="F20" i="56" s="1"/>
  <c r="S22" i="43"/>
  <c r="D20" i="56" s="1"/>
  <c r="S22" i="61"/>
  <c r="C20" i="56" s="1"/>
  <c r="S22" i="57"/>
  <c r="E20" i="56" s="1"/>
  <c r="S22" i="59"/>
  <c r="G20" i="56" s="1"/>
  <c r="R23" i="59"/>
  <c r="F44" i="56"/>
  <c r="F50" i="56"/>
  <c r="C44" i="56"/>
  <c r="C50" i="56"/>
  <c r="D44" i="56"/>
  <c r="D50" i="56"/>
  <c r="G44" i="56"/>
  <c r="G50" i="56"/>
  <c r="C43" i="56"/>
  <c r="H17" i="56"/>
  <c r="H43" i="56" s="1"/>
  <c r="S20" i="57"/>
  <c r="E18" i="56" s="1"/>
  <c r="H18" i="56" s="1"/>
  <c r="S12" i="57"/>
  <c r="E10" i="56" s="1"/>
  <c r="H10" i="56" s="1"/>
  <c r="H36" i="56" s="1"/>
  <c r="S11" i="59"/>
  <c r="G9" i="56" s="1"/>
  <c r="G35" i="56" s="1"/>
  <c r="S23" i="57"/>
  <c r="S17" i="57"/>
  <c r="E15" i="56" s="1"/>
  <c r="R14" i="61"/>
  <c r="R15" i="61" s="1"/>
  <c r="R16" i="61" s="1"/>
  <c r="C36" i="56"/>
  <c r="Q23" i="59"/>
  <c r="S17" i="59"/>
  <c r="S17" i="58"/>
  <c r="S17" i="43"/>
  <c r="P14" i="58"/>
  <c r="P15" i="58" s="1"/>
  <c r="R13" i="58"/>
  <c r="R14" i="58" s="1"/>
  <c r="R15" i="58" s="1"/>
  <c r="R40" i="58"/>
  <c r="R48" i="58" s="1"/>
  <c r="R13" i="57"/>
  <c r="R40" i="57"/>
  <c r="R48" i="57" s="1"/>
  <c r="Q13" i="58"/>
  <c r="Q14" i="58" s="1"/>
  <c r="Q15" i="58" s="1"/>
  <c r="Q40" i="58"/>
  <c r="Q48" i="58" s="1"/>
  <c r="P16" i="59"/>
  <c r="P24" i="59"/>
  <c r="P25" i="59" s="1"/>
  <c r="P26" i="59" s="1"/>
  <c r="P27" i="59" s="1"/>
  <c r="O16" i="57"/>
  <c r="O24" i="57"/>
  <c r="O25" i="57" s="1"/>
  <c r="O26" i="57" s="1"/>
  <c r="O27" i="57" s="1"/>
  <c r="P14" i="43"/>
  <c r="P15" i="43" s="1"/>
  <c r="R13" i="43"/>
  <c r="R14" i="43" s="1"/>
  <c r="R15" i="43" s="1"/>
  <c r="R40" i="43"/>
  <c r="R48" i="43" s="1"/>
  <c r="Q13" i="59"/>
  <c r="Q14" i="59" s="1"/>
  <c r="Q15" i="59" s="1"/>
  <c r="Q40" i="59"/>
  <c r="Q48" i="59" s="1"/>
  <c r="Q13" i="57"/>
  <c r="Q14" i="57" s="1"/>
  <c r="Q15" i="57" s="1"/>
  <c r="Q40" i="57"/>
  <c r="Q48" i="57" s="1"/>
  <c r="R13" i="59"/>
  <c r="R40" i="59"/>
  <c r="R48" i="59" s="1"/>
  <c r="P16" i="57"/>
  <c r="P24" i="57"/>
  <c r="P25" i="57" s="1"/>
  <c r="P26" i="57" s="1"/>
  <c r="P27" i="57" s="1"/>
  <c r="Q13" i="43"/>
  <c r="Q14" i="43" s="1"/>
  <c r="Q15" i="43" s="1"/>
  <c r="Q40" i="43"/>
  <c r="Q48" i="43" s="1"/>
  <c r="Q14" i="61"/>
  <c r="Q15" i="61" s="1"/>
  <c r="S13" i="61"/>
  <c r="C35" i="56"/>
  <c r="H9" i="56"/>
  <c r="H35" i="56" s="1"/>
  <c r="C26" i="59"/>
  <c r="C27" i="59" s="1"/>
  <c r="D35" i="56"/>
  <c r="C26" i="43"/>
  <c r="C27" i="43" s="1"/>
  <c r="C24" i="57"/>
  <c r="C25" i="57" s="1"/>
  <c r="C16" i="57"/>
  <c r="C24" i="58"/>
  <c r="C25" i="58" s="1"/>
  <c r="C16" i="58"/>
  <c r="C46" i="56" l="1"/>
  <c r="H20" i="56"/>
  <c r="C52" i="56"/>
  <c r="G46" i="56"/>
  <c r="G52" i="56"/>
  <c r="D46" i="56"/>
  <c r="D52" i="56"/>
  <c r="E52" i="56"/>
  <c r="E46" i="56"/>
  <c r="F46" i="56"/>
  <c r="F52" i="56"/>
  <c r="H44" i="56"/>
  <c r="H50" i="56"/>
  <c r="E44" i="56"/>
  <c r="E50" i="56"/>
  <c r="R24" i="61"/>
  <c r="R25" i="61" s="1"/>
  <c r="R26" i="61" s="1"/>
  <c r="R27" i="61" s="1"/>
  <c r="F15" i="56"/>
  <c r="S23" i="58"/>
  <c r="S23" i="43"/>
  <c r="D15" i="56"/>
  <c r="G15" i="56"/>
  <c r="S23" i="59"/>
  <c r="E21" i="56"/>
  <c r="E42" i="56"/>
  <c r="E36" i="56"/>
  <c r="E49" i="56"/>
  <c r="Q16" i="57"/>
  <c r="Q24" i="57"/>
  <c r="Q25" i="57" s="1"/>
  <c r="Q26" i="57" s="1"/>
  <c r="Q27" i="57" s="1"/>
  <c r="P16" i="43"/>
  <c r="P24" i="43"/>
  <c r="P25" i="43" s="1"/>
  <c r="P26" i="43" s="1"/>
  <c r="P27" i="43" s="1"/>
  <c r="R16" i="58"/>
  <c r="R24" i="58"/>
  <c r="R25" i="58" s="1"/>
  <c r="R26" i="58" s="1"/>
  <c r="R27" i="58" s="1"/>
  <c r="C11" i="56"/>
  <c r="S14" i="61"/>
  <c r="S15" i="61" s="1"/>
  <c r="Q16" i="43"/>
  <c r="Q24" i="43"/>
  <c r="Q25" i="43" s="1"/>
  <c r="Q26" i="43" s="1"/>
  <c r="Q27" i="43" s="1"/>
  <c r="R16" i="43"/>
  <c r="R24" i="43"/>
  <c r="R25" i="43" s="1"/>
  <c r="R26" i="43" s="1"/>
  <c r="R27" i="43" s="1"/>
  <c r="R14" i="57"/>
  <c r="R15" i="57" s="1"/>
  <c r="S13" i="57"/>
  <c r="S13" i="58"/>
  <c r="Q16" i="61"/>
  <c r="Q24" i="61"/>
  <c r="Q25" i="61" s="1"/>
  <c r="Q26" i="61" s="1"/>
  <c r="Q27" i="61" s="1"/>
  <c r="R14" i="59"/>
  <c r="R15" i="59" s="1"/>
  <c r="S13" i="59"/>
  <c r="Q16" i="59"/>
  <c r="Q24" i="59"/>
  <c r="Q25" i="59" s="1"/>
  <c r="Q26" i="59" s="1"/>
  <c r="Q27" i="59" s="1"/>
  <c r="S13" i="43"/>
  <c r="Q16" i="58"/>
  <c r="Q24" i="58"/>
  <c r="Q25" i="58" s="1"/>
  <c r="Q26" i="58" s="1"/>
  <c r="Q27" i="58" s="1"/>
  <c r="P16" i="58"/>
  <c r="P24" i="58"/>
  <c r="P25" i="58" s="1"/>
  <c r="P26" i="58" s="1"/>
  <c r="P27" i="58" s="1"/>
  <c r="C26" i="57"/>
  <c r="C27" i="57" s="1"/>
  <c r="C26" i="58"/>
  <c r="C27" i="58" s="1"/>
  <c r="H46" i="56" l="1"/>
  <c r="H52" i="56"/>
  <c r="G42" i="56"/>
  <c r="G21" i="56"/>
  <c r="G49" i="56"/>
  <c r="D42" i="56"/>
  <c r="D21" i="56"/>
  <c r="D49" i="56"/>
  <c r="F21" i="56"/>
  <c r="F42" i="56"/>
  <c r="F49" i="56"/>
  <c r="R16" i="59"/>
  <c r="R24" i="59"/>
  <c r="R25" i="59" s="1"/>
  <c r="R26" i="59" s="1"/>
  <c r="R27" i="59" s="1"/>
  <c r="F11" i="56"/>
  <c r="S14" i="58"/>
  <c r="S15" i="58" s="1"/>
  <c r="E11" i="56"/>
  <c r="S14" i="57"/>
  <c r="S15" i="57" s="1"/>
  <c r="C13" i="56"/>
  <c r="S16" i="61"/>
  <c r="D11" i="56"/>
  <c r="S14" i="43"/>
  <c r="S15" i="43" s="1"/>
  <c r="G11" i="56"/>
  <c r="S14" i="59"/>
  <c r="S15" i="59" s="1"/>
  <c r="R16" i="57"/>
  <c r="R24" i="57"/>
  <c r="R25" i="57" s="1"/>
  <c r="R26" i="57" s="1"/>
  <c r="R27" i="57" s="1"/>
  <c r="C37" i="56"/>
  <c r="C48" i="56"/>
  <c r="C12" i="56"/>
  <c r="H11" i="56" l="1"/>
  <c r="H37" i="56"/>
  <c r="H48" i="56"/>
  <c r="H12" i="56"/>
  <c r="G13" i="56"/>
  <c r="S16" i="59"/>
  <c r="S24" i="59"/>
  <c r="D37" i="56"/>
  <c r="D48" i="56"/>
  <c r="D12" i="56"/>
  <c r="E13" i="56"/>
  <c r="S16" i="57"/>
  <c r="S24" i="57"/>
  <c r="F37" i="56"/>
  <c r="F48" i="56"/>
  <c r="F12" i="56"/>
  <c r="G37" i="56"/>
  <c r="G48" i="56"/>
  <c r="G12" i="56"/>
  <c r="E37" i="56"/>
  <c r="E48" i="56"/>
  <c r="E12" i="56"/>
  <c r="D13" i="56"/>
  <c r="S24" i="43"/>
  <c r="S16" i="43"/>
  <c r="C14" i="56"/>
  <c r="C39" i="56"/>
  <c r="F13" i="56"/>
  <c r="S16" i="58"/>
  <c r="S24" i="58"/>
  <c r="F39" i="56" l="1"/>
  <c r="F40" i="56" s="1"/>
  <c r="F14" i="56"/>
  <c r="S25" i="57"/>
  <c r="E22" i="56"/>
  <c r="E54" i="56" s="1"/>
  <c r="G22" i="56"/>
  <c r="G54" i="56" s="1"/>
  <c r="S25" i="59"/>
  <c r="D22" i="56"/>
  <c r="D54" i="56" s="1"/>
  <c r="S25" i="43"/>
  <c r="F22" i="56"/>
  <c r="F54" i="56" s="1"/>
  <c r="S25" i="58"/>
  <c r="D14" i="56"/>
  <c r="D39" i="56"/>
  <c r="D40" i="56" s="1"/>
  <c r="H13" i="56"/>
  <c r="E39" i="56"/>
  <c r="E40" i="56" s="1"/>
  <c r="E14" i="56"/>
  <c r="G14" i="56"/>
  <c r="G39" i="56"/>
  <c r="G40" i="56" s="1"/>
  <c r="S26" i="59" l="1"/>
  <c r="G23" i="56"/>
  <c r="S26" i="57"/>
  <c r="E23" i="56"/>
  <c r="S26" i="43"/>
  <c r="D23" i="56"/>
  <c r="H14" i="56"/>
  <c r="H39" i="56"/>
  <c r="S26" i="58"/>
  <c r="F23" i="56"/>
  <c r="F46" i="61"/>
  <c r="F48" i="61" s="1"/>
  <c r="E46" i="61"/>
  <c r="E48" i="61" s="1"/>
  <c r="D46" i="61"/>
  <c r="D48" i="61" s="1"/>
  <c r="C21" i="61"/>
  <c r="C46" i="61" s="1"/>
  <c r="C48" i="61" s="1"/>
  <c r="C19" i="56"/>
  <c r="C45" i="56" s="1"/>
  <c r="S27" i="58" l="1"/>
  <c r="F24" i="56"/>
  <c r="S27" i="57"/>
  <c r="E24" i="56"/>
  <c r="S27" i="43"/>
  <c r="D24" i="56"/>
  <c r="S27" i="59"/>
  <c r="G24" i="56"/>
  <c r="H19" i="56"/>
  <c r="H51" i="56" s="1"/>
  <c r="C51" i="56"/>
  <c r="C17" i="61"/>
  <c r="D25" i="56" l="1"/>
  <c r="D60" i="56"/>
  <c r="D59" i="56" s="1"/>
  <c r="D53" i="56"/>
  <c r="F25" i="56"/>
  <c r="F53" i="56"/>
  <c r="F60" i="56"/>
  <c r="F59" i="56" s="1"/>
  <c r="G25" i="56"/>
  <c r="G53" i="56"/>
  <c r="G60" i="56"/>
  <c r="G59" i="56" s="1"/>
  <c r="E25" i="56"/>
  <c r="E60" i="56"/>
  <c r="E59" i="56" s="1"/>
  <c r="E53" i="56"/>
  <c r="H45" i="56"/>
  <c r="S17" i="61"/>
  <c r="C23" i="61"/>
  <c r="C24" i="61" s="1"/>
  <c r="C15" i="56" l="1"/>
  <c r="S23" i="61"/>
  <c r="S24" i="61" s="1"/>
  <c r="C25" i="61"/>
  <c r="C26" i="61" s="1"/>
  <c r="S26" i="61" l="1"/>
  <c r="S27" i="61" s="1"/>
  <c r="C27" i="61"/>
  <c r="C22" i="56"/>
  <c r="H22" i="56" s="1"/>
  <c r="S25" i="61"/>
  <c r="C23" i="56" s="1"/>
  <c r="C42" i="56"/>
  <c r="C49" i="56"/>
  <c r="C21" i="56"/>
  <c r="C40" i="56" s="1"/>
  <c r="H15" i="56"/>
  <c r="H21" i="56" s="1"/>
  <c r="I22" i="56" s="1"/>
  <c r="C54" i="56" l="1"/>
  <c r="H42" i="56"/>
  <c r="H40" i="56"/>
  <c r="H49" i="56"/>
  <c r="C24" i="56"/>
  <c r="C25" i="56" s="1"/>
  <c r="C53" i="56" l="1"/>
  <c r="C60" i="56"/>
  <c r="C59" i="56" s="1"/>
  <c r="H54" i="56"/>
  <c r="H23" i="56"/>
  <c r="H24" i="56" l="1"/>
  <c r="H53" i="56" s="1"/>
  <c r="H60" i="56" l="1"/>
  <c r="H59" i="56" s="1"/>
  <c r="H25" i="56"/>
</calcChain>
</file>

<file path=xl/comments1.xml><?xml version="1.0" encoding="utf-8"?>
<comments xmlns="http://schemas.openxmlformats.org/spreadsheetml/2006/main">
  <authors>
    <author>作者</author>
  </authors>
  <commentList>
    <comment ref="T3" authorId="0" shapeId="0">
      <text>
        <r>
          <rPr>
            <b/>
            <sz val="9"/>
            <rFont val="宋体"/>
            <family val="3"/>
            <charset val="134"/>
          </rPr>
          <t>委外加工、客户指定信息必须填写</t>
        </r>
        <r>
          <rPr>
            <sz val="9"/>
            <rFont val="宋体"/>
            <family val="3"/>
            <charset val="1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ghrc</author>
  </authors>
  <commentList>
    <comment ref="O9" authorId="0" shapeId="0">
      <text>
        <r>
          <rPr>
            <b/>
            <sz val="9"/>
            <color indexed="81"/>
            <rFont val="宋体"/>
            <family val="3"/>
            <charset val="134"/>
          </rPr>
          <t>ghrc:</t>
        </r>
        <r>
          <rPr>
            <sz val="9"/>
            <color indexed="81"/>
            <rFont val="宋体"/>
            <family val="3"/>
            <charset val="134"/>
          </rPr>
          <t xml:space="preserve">
集团</t>
        </r>
      </text>
    </comment>
    <comment ref="P9" authorId="0" shapeId="0">
      <text>
        <r>
          <rPr>
            <b/>
            <sz val="9"/>
            <color indexed="81"/>
            <rFont val="宋体"/>
            <family val="3"/>
            <charset val="134"/>
          </rPr>
          <t>ghrc:</t>
        </r>
        <r>
          <rPr>
            <sz val="9"/>
            <color indexed="81"/>
            <rFont val="宋体"/>
            <family val="3"/>
            <charset val="134"/>
          </rPr>
          <t xml:space="preserve">
含集团</t>
        </r>
      </text>
    </comment>
    <comment ref="J11" authorId="0" shapeId="0">
      <text>
        <r>
          <rPr>
            <b/>
            <sz val="9"/>
            <color indexed="81"/>
            <rFont val="宋体"/>
            <family val="3"/>
            <charset val="134"/>
          </rPr>
          <t>ghrc:</t>
        </r>
        <r>
          <rPr>
            <sz val="9"/>
            <color indexed="81"/>
            <rFont val="宋体"/>
            <family val="3"/>
            <charset val="134"/>
          </rPr>
          <t xml:space="preserve">
按河北</t>
        </r>
      </text>
    </comment>
  </commentList>
</comments>
</file>

<file path=xl/sharedStrings.xml><?xml version="1.0" encoding="utf-8"?>
<sst xmlns="http://schemas.openxmlformats.org/spreadsheetml/2006/main" count="1366" uniqueCount="310">
  <si>
    <t xml:space="preserve">序号 </t>
  </si>
  <si>
    <t>项目</t>
  </si>
  <si>
    <t xml:space="preserve">假设条件 </t>
  </si>
  <si>
    <t>销量</t>
  </si>
  <si>
    <t>假设产销一致，暂不考虑库存部分。</t>
  </si>
  <si>
    <t>价格及商务政策</t>
  </si>
  <si>
    <t>销售价格（未税）：由营销或项目经理提供，包括年降。</t>
  </si>
  <si>
    <t>材料成本</t>
  </si>
  <si>
    <t>成本预估由项目经理提供。供应商年度降价与销价降价同步。</t>
  </si>
  <si>
    <t>变动费用</t>
  </si>
  <si>
    <t>固定费用</t>
  </si>
  <si>
    <t>预测工厂产能满足客户订单。</t>
  </si>
  <si>
    <t>研发费用按照产销量摊销。</t>
  </si>
  <si>
    <t>如有产线改造按照产销量摊销，无净残值。</t>
  </si>
  <si>
    <t>投资回收期</t>
  </si>
  <si>
    <t>投资仅指此项目研发费用及模夹检具工装、生产地产线改造投入。</t>
  </si>
  <si>
    <t>财务现金流量表</t>
  </si>
  <si>
    <t>附表10</t>
  </si>
  <si>
    <t>序号</t>
  </si>
  <si>
    <t xml:space="preserve">   年    份</t>
  </si>
  <si>
    <t>建设期</t>
  </si>
  <si>
    <t>运营期</t>
  </si>
  <si>
    <t xml:space="preserve">    项    目</t>
  </si>
  <si>
    <t>合 计</t>
  </si>
  <si>
    <t>现金流入</t>
  </si>
  <si>
    <t>销售收入</t>
  </si>
  <si>
    <t>回收固定资产和无形资产余值</t>
  </si>
  <si>
    <t>回收流动资金</t>
  </si>
  <si>
    <t xml:space="preserve"> </t>
  </si>
  <si>
    <t>其他收入</t>
  </si>
  <si>
    <t>现金流出</t>
  </si>
  <si>
    <t>建设投资</t>
  </si>
  <si>
    <t>流动资金</t>
  </si>
  <si>
    <t>经营成本</t>
  </si>
  <si>
    <t>销售税金及附加</t>
  </si>
  <si>
    <t>所得税</t>
  </si>
  <si>
    <t>其他</t>
  </si>
  <si>
    <t>净现金流量</t>
  </si>
  <si>
    <t>累计净现金流量</t>
  </si>
  <si>
    <t>所得税前净现金流量</t>
  </si>
  <si>
    <t>所得税前累计净现金流量</t>
  </si>
  <si>
    <t>计算指标:</t>
  </si>
  <si>
    <t>所得税后</t>
  </si>
  <si>
    <t>所得税前</t>
  </si>
  <si>
    <t>财务内部收益率(%):</t>
  </si>
  <si>
    <t xml:space="preserve">     </t>
  </si>
  <si>
    <t>财务净现值(ic=12%)(万元):</t>
  </si>
  <si>
    <t>投资回收期(年):</t>
  </si>
  <si>
    <t>2027年</t>
  </si>
  <si>
    <t>合计</t>
  </si>
  <si>
    <t>各责任主体</t>
  </si>
  <si>
    <t>销售公司</t>
  </si>
  <si>
    <t>收入</t>
  </si>
  <si>
    <t>1、</t>
  </si>
  <si>
    <t>年降</t>
  </si>
  <si>
    <t>2、</t>
  </si>
  <si>
    <t>折扣折让</t>
  </si>
  <si>
    <t>收入净额</t>
  </si>
  <si>
    <t>4、</t>
  </si>
  <si>
    <t>计算</t>
  </si>
  <si>
    <t>5、</t>
  </si>
  <si>
    <t>直接材料</t>
  </si>
  <si>
    <t>各业务部门进行技术方案分析、包括实现方式，采购中心根据技术方案的输入向供应商询价</t>
  </si>
  <si>
    <t>直接人工</t>
  </si>
  <si>
    <t>6、</t>
  </si>
  <si>
    <t>变动制造费用</t>
  </si>
  <si>
    <t>7、</t>
  </si>
  <si>
    <t>变动销售费用</t>
  </si>
  <si>
    <t>9、</t>
  </si>
  <si>
    <t>变动费用小计</t>
  </si>
  <si>
    <t>11、</t>
  </si>
  <si>
    <t>边际贡献总额</t>
  </si>
  <si>
    <t>12、</t>
  </si>
  <si>
    <t>边际贡献率</t>
  </si>
  <si>
    <t>13、</t>
  </si>
  <si>
    <t>固定制造费用</t>
  </si>
  <si>
    <t>14、</t>
  </si>
  <si>
    <t>固定销售费用</t>
  </si>
  <si>
    <t>15、</t>
  </si>
  <si>
    <t>管理费用</t>
  </si>
  <si>
    <t>16、</t>
  </si>
  <si>
    <t>研发费用</t>
  </si>
  <si>
    <t>财务费用</t>
  </si>
  <si>
    <t>17、</t>
  </si>
  <si>
    <t>固定费用小计</t>
  </si>
  <si>
    <t>18、</t>
  </si>
  <si>
    <t>税前利润</t>
  </si>
  <si>
    <t>19、</t>
  </si>
  <si>
    <t>20、</t>
  </si>
  <si>
    <t>净利润</t>
  </si>
  <si>
    <t>21、</t>
  </si>
  <si>
    <t>销售净利率</t>
  </si>
  <si>
    <t>22、</t>
  </si>
  <si>
    <t>利润率</t>
  </si>
  <si>
    <t>指标值</t>
  </si>
  <si>
    <t>一、</t>
  </si>
  <si>
    <t>附加值</t>
  </si>
  <si>
    <t>二、</t>
  </si>
  <si>
    <t>单件销售收入</t>
  </si>
  <si>
    <t>单件材料成本</t>
  </si>
  <si>
    <t>3、</t>
  </si>
  <si>
    <t>单件附加值</t>
  </si>
  <si>
    <t>附加值比例</t>
  </si>
  <si>
    <t>三、</t>
  </si>
  <si>
    <t>单件直接人工</t>
  </si>
  <si>
    <t>单件变动制造费用</t>
  </si>
  <si>
    <t>单件变动销售费用</t>
  </si>
  <si>
    <t>四、</t>
  </si>
  <si>
    <t>边际贡献</t>
  </si>
  <si>
    <t>单件边际贡献</t>
  </si>
  <si>
    <t>保本量</t>
  </si>
  <si>
    <t>五、</t>
  </si>
  <si>
    <t>单件固定成本</t>
  </si>
  <si>
    <t>单件固定制造费用</t>
  </si>
  <si>
    <t>单件固定销售费用</t>
  </si>
  <si>
    <t>单件管理费用</t>
  </si>
  <si>
    <t>单件研发费用</t>
  </si>
  <si>
    <t>单件折旧及模具摊销</t>
  </si>
  <si>
    <t>单件财务费用</t>
  </si>
  <si>
    <t>六、</t>
  </si>
  <si>
    <t>主要比例指标</t>
  </si>
  <si>
    <t>销售费用占收入比例</t>
  </si>
  <si>
    <t>制造费用占收入比例</t>
  </si>
  <si>
    <t>管理费用占收入比例</t>
  </si>
  <si>
    <t>研发费用占收入比例</t>
  </si>
  <si>
    <t>财务费用占收入比例</t>
  </si>
  <si>
    <t>销售利润率</t>
  </si>
  <si>
    <t>销售利润率吧</t>
  </si>
  <si>
    <t>七、</t>
  </si>
  <si>
    <t>税前单件利润</t>
  </si>
  <si>
    <t>八、</t>
  </si>
  <si>
    <t>投资回收期（研发投资+产线改造投资）</t>
  </si>
  <si>
    <t>新增投资</t>
  </si>
  <si>
    <t xml:space="preserve">研发投资 </t>
  </si>
  <si>
    <t xml:space="preserve">设备模具等投资 </t>
  </si>
  <si>
    <t>新增现金流量</t>
  </si>
  <si>
    <t>新增净利润</t>
  </si>
  <si>
    <t>新增折旧</t>
  </si>
  <si>
    <t>残值处理</t>
  </si>
  <si>
    <t>年度</t>
  </si>
  <si>
    <t>客户全称</t>
  </si>
  <si>
    <t>产品名称</t>
  </si>
  <si>
    <t>产品图号</t>
  </si>
  <si>
    <t>车型</t>
  </si>
  <si>
    <t>销量(件）</t>
  </si>
  <si>
    <t>设备模具等折旧分摊</t>
  </si>
  <si>
    <t>假设包含在固定制造费用中</t>
  </si>
  <si>
    <t>单位：元</t>
  </si>
  <si>
    <t>单件销售收入净额</t>
  </si>
  <si>
    <t>金额</t>
  </si>
  <si>
    <t>备注</t>
  </si>
  <si>
    <t>类型</t>
  </si>
  <si>
    <t>预算费用（万元）</t>
  </si>
  <si>
    <t>一、土地</t>
  </si>
  <si>
    <t>生产线设备</t>
  </si>
  <si>
    <t>新购置</t>
  </si>
  <si>
    <t>二、建设工程投资</t>
  </si>
  <si>
    <t>改造</t>
  </si>
  <si>
    <t>三、设备投资</t>
  </si>
  <si>
    <t>模、夹、检、工装等</t>
  </si>
  <si>
    <t>注塑模具</t>
  </si>
  <si>
    <t>四、其他</t>
  </si>
  <si>
    <t>冲压模具</t>
  </si>
  <si>
    <t>小计</t>
  </si>
  <si>
    <t>发泡模具</t>
  </si>
  <si>
    <t>五、模夹检具、工装</t>
  </si>
  <si>
    <t>压铸模具</t>
  </si>
  <si>
    <t>六、开发投入</t>
  </si>
  <si>
    <t>夹具</t>
  </si>
  <si>
    <t>检具</t>
  </si>
  <si>
    <t>工装</t>
  </si>
  <si>
    <t xml:space="preserve">其它 </t>
  </si>
  <si>
    <t>人力成本</t>
  </si>
  <si>
    <t>差旅费</t>
  </si>
  <si>
    <t>邮寄费</t>
  </si>
  <si>
    <t>运费</t>
  </si>
  <si>
    <t>设计费</t>
  </si>
  <si>
    <t>样品费</t>
  </si>
  <si>
    <t>试验费</t>
  </si>
  <si>
    <t>维修费</t>
  </si>
  <si>
    <t>注：生产线改造、机器人及生产设备等投入费用预算由工厂策划预算。</t>
  </si>
  <si>
    <t>摊余系数</t>
  </si>
  <si>
    <t>2028年</t>
  </si>
  <si>
    <t>2029年</t>
  </si>
  <si>
    <t>2030年</t>
  </si>
  <si>
    <t>预计净残值</t>
  </si>
  <si>
    <t>研发费用分摊</t>
  </si>
  <si>
    <t>产品量价规划</t>
  </si>
  <si>
    <t>一、销量、售价</t>
  </si>
  <si>
    <t>预计销价年降</t>
  </si>
  <si>
    <t xml:space="preserve">  年</t>
  </si>
  <si>
    <t>新开发产品</t>
  </si>
  <si>
    <t>配置</t>
  </si>
  <si>
    <t xml:space="preserve">销售价格
（元，未税）  </t>
  </si>
  <si>
    <t>销量（件）</t>
  </si>
  <si>
    <t>原材料成本</t>
  </si>
  <si>
    <t>附加值率</t>
  </si>
  <si>
    <t>预估原材料成本（单位：元，未税）</t>
  </si>
  <si>
    <t>模块</t>
  </si>
  <si>
    <t>项目名称</t>
  </si>
  <si>
    <t>项目编号</t>
  </si>
  <si>
    <t>骨架/镜杆</t>
  </si>
  <si>
    <t>底座模块化</t>
  </si>
  <si>
    <t>发泡</t>
  </si>
  <si>
    <t>面料</t>
  </si>
  <si>
    <t>扶手</t>
  </si>
  <si>
    <t>腰托</t>
  </si>
  <si>
    <t>调角器</t>
  </si>
  <si>
    <t>滑道</t>
  </si>
  <si>
    <t>防尘罩</t>
  </si>
  <si>
    <t>注塑件</t>
  </si>
  <si>
    <t>标准件</t>
  </si>
  <si>
    <t>包装膜</t>
  </si>
  <si>
    <t>通风加热</t>
  </si>
  <si>
    <t>安全带</t>
  </si>
  <si>
    <t>SBR</t>
  </si>
  <si>
    <t>喷涂</t>
  </si>
  <si>
    <t>预计材料成本</t>
  </si>
  <si>
    <t>汇总</t>
  </si>
  <si>
    <t>项    目</t>
  </si>
  <si>
    <t>内容</t>
  </si>
  <si>
    <t>说明</t>
  </si>
  <si>
    <t>生产地点</t>
  </si>
  <si>
    <t>客户地点</t>
  </si>
  <si>
    <t>客户付款方式</t>
  </si>
  <si>
    <t>喷涂件生产地点</t>
  </si>
  <si>
    <t>委外加工</t>
  </si>
  <si>
    <t>物流包装信息</t>
  </si>
  <si>
    <t>客户现场服务要求</t>
  </si>
  <si>
    <t>客户所在地第三方收费标准</t>
  </si>
  <si>
    <t>客户是否指定供方及其结算方式</t>
  </si>
  <si>
    <t>面料价格</t>
  </si>
  <si>
    <t>包含所有的主、辅料</t>
  </si>
  <si>
    <t>产品特殊特性</t>
  </si>
  <si>
    <t>开发费分摊情况</t>
  </si>
  <si>
    <t>产品应用场景</t>
  </si>
  <si>
    <t>三包周期</t>
  </si>
  <si>
    <t>涂红色处为必填项</t>
  </si>
  <si>
    <t>单位：元、%、未税</t>
  </si>
  <si>
    <t>科目</t>
  </si>
  <si>
    <t>预计</t>
  </si>
  <si>
    <t>座椅单件金额</t>
  </si>
  <si>
    <t>后视镜单件金额</t>
  </si>
  <si>
    <t>综合单件金额</t>
  </si>
  <si>
    <t>座椅占收入比率</t>
  </si>
  <si>
    <t>后视镜占收入比率</t>
  </si>
  <si>
    <t>综合占收入比率</t>
  </si>
  <si>
    <t>人工成本</t>
  </si>
  <si>
    <t>制造费用</t>
  </si>
  <si>
    <t>固定</t>
  </si>
  <si>
    <t>变动</t>
  </si>
  <si>
    <t>标准成本小计</t>
  </si>
  <si>
    <t>销售费用</t>
  </si>
  <si>
    <t xml:space="preserve">座椅项目研发费用预算表 </t>
    <phoneticPr fontId="45" type="noConversion"/>
  </si>
  <si>
    <t>2031年</t>
  </si>
  <si>
    <t xml:space="preserve">2029年  </t>
    <phoneticPr fontId="45" type="noConversion"/>
  </si>
  <si>
    <t xml:space="preserve">2028年  </t>
    <phoneticPr fontId="45" type="noConversion"/>
  </si>
  <si>
    <t xml:space="preserve">2026年  </t>
    <phoneticPr fontId="45" type="noConversion"/>
  </si>
  <si>
    <r>
      <t>2027年</t>
    </r>
    <r>
      <rPr>
        <b/>
        <sz val="10"/>
        <rFont val="宋体"/>
        <family val="3"/>
        <charset val="134"/>
      </rPr>
      <t/>
    </r>
  </si>
  <si>
    <r>
      <t>2028年</t>
    </r>
    <r>
      <rPr>
        <b/>
        <sz val="10"/>
        <rFont val="宋体"/>
        <family val="3"/>
        <charset val="134"/>
      </rPr>
      <t/>
    </r>
  </si>
  <si>
    <r>
      <t>2029年</t>
    </r>
    <r>
      <rPr>
        <b/>
        <sz val="10"/>
        <rFont val="宋体"/>
        <family val="3"/>
        <charset val="134"/>
      </rPr>
      <t/>
    </r>
  </si>
  <si>
    <t>单位：未税、元</t>
    <phoneticPr fontId="45" type="noConversion"/>
  </si>
  <si>
    <t>直接材料</t>
    <phoneticPr fontId="45" type="noConversion"/>
  </si>
  <si>
    <t>单件边际贡献</t>
    <phoneticPr fontId="45" type="noConversion"/>
  </si>
  <si>
    <t>所得税(税率15%）</t>
    <phoneticPr fontId="45" type="noConversion"/>
  </si>
  <si>
    <t>西安数据</t>
    <phoneticPr fontId="45" type="noConversion"/>
  </si>
  <si>
    <t>财务费用按综合数据。</t>
    <phoneticPr fontId="45" type="noConversion"/>
  </si>
  <si>
    <t>河北工厂平均值</t>
    <phoneticPr fontId="45" type="noConversion"/>
  </si>
  <si>
    <t>经营数据</t>
    <phoneticPr fontId="45" type="noConversion"/>
  </si>
  <si>
    <t>含研发</t>
    <phoneticPr fontId="45" type="noConversion"/>
  </si>
  <si>
    <t>2024年河北座椅</t>
    <phoneticPr fontId="45" type="noConversion"/>
  </si>
  <si>
    <t>长春数据</t>
    <phoneticPr fontId="45" type="noConversion"/>
  </si>
  <si>
    <t>河北光华荣昌</t>
  </si>
  <si>
    <t>/</t>
    <phoneticPr fontId="23" type="noConversion"/>
  </si>
  <si>
    <t>/</t>
    <phoneticPr fontId="23" type="noConversion"/>
  </si>
  <si>
    <t>不含开发费</t>
    <phoneticPr fontId="45" type="noConversion"/>
  </si>
  <si>
    <r>
      <t>S</t>
    </r>
    <r>
      <rPr>
        <sz val="11"/>
        <color theme="1"/>
        <rFont val="宋体"/>
        <family val="3"/>
        <charset val="134"/>
        <scheme val="minor"/>
      </rPr>
      <t>OP</t>
    </r>
    <phoneticPr fontId="45" type="noConversion"/>
  </si>
  <si>
    <t>单件分摊</t>
    <phoneticPr fontId="45" type="noConversion"/>
  </si>
  <si>
    <r>
      <t xml:space="preserve">    项目建设及投资估算表 </t>
    </r>
    <r>
      <rPr>
        <b/>
        <sz val="8"/>
        <color indexed="8"/>
        <rFont val="宋体"/>
        <family val="3"/>
        <charset val="134"/>
      </rPr>
      <t>单位：万元</t>
    </r>
    <phoneticPr fontId="45" type="noConversion"/>
  </si>
  <si>
    <t>河北工厂//北京研发/供应商往返</t>
  </si>
  <si>
    <t>河北工厂/西安工厂/北京研发/实验室/主机厂</t>
  </si>
  <si>
    <t>开发过程评审、验证、实验使用</t>
  </si>
  <si>
    <t>/</t>
  </si>
  <si>
    <t>根据成本价格进行加价确认</t>
  </si>
  <si>
    <t>2026年</t>
    <phoneticPr fontId="45" type="noConversion"/>
  </si>
  <si>
    <t>2032年</t>
  </si>
  <si>
    <t>2026年</t>
    <phoneticPr fontId="45" type="noConversion"/>
  </si>
  <si>
    <t>2027年</t>
    <phoneticPr fontId="45" type="noConversion"/>
  </si>
  <si>
    <t xml:space="preserve">2030年  </t>
    <phoneticPr fontId="45" type="noConversion"/>
  </si>
  <si>
    <t xml:space="preserve">2027年  </t>
    <phoneticPr fontId="45" type="noConversion"/>
  </si>
  <si>
    <r>
      <t>2026</t>
    </r>
    <r>
      <rPr>
        <b/>
        <sz val="10"/>
        <rFont val="宋体"/>
        <family val="3"/>
        <charset val="134"/>
      </rPr>
      <t>年</t>
    </r>
    <phoneticPr fontId="45" type="noConversion"/>
  </si>
  <si>
    <r>
      <t>2030年</t>
    </r>
    <r>
      <rPr>
        <b/>
        <sz val="10"/>
        <rFont val="宋体"/>
        <family val="3"/>
        <charset val="134"/>
      </rPr>
      <t/>
    </r>
  </si>
  <si>
    <t>上门提货</t>
    <phoneticPr fontId="45" type="noConversion"/>
  </si>
  <si>
    <t>分摊</t>
    <phoneticPr fontId="45" type="noConversion"/>
  </si>
  <si>
    <t>2025年河北金属件</t>
    <phoneticPr fontId="45" type="noConversion"/>
  </si>
  <si>
    <t>验证</t>
    <phoneticPr fontId="45" type="noConversion"/>
  </si>
  <si>
    <t>2025.1-8金属件占收入比率</t>
    <phoneticPr fontId="45" type="noConversion"/>
  </si>
  <si>
    <t>工厂提货，不含运费</t>
    <phoneticPr fontId="45" type="noConversion"/>
  </si>
  <si>
    <t>变动费用参考河北工厂2025年1-8月金属件厂实际暂估。</t>
    <phoneticPr fontId="45" type="noConversion"/>
  </si>
  <si>
    <t>单台材料成本为未税价格。</t>
    <phoneticPr fontId="45" type="noConversion"/>
  </si>
  <si>
    <t>肩部折叠靠背骨架项目投资收益分析</t>
    <phoneticPr fontId="45" type="noConversion"/>
  </si>
  <si>
    <t>肩部折叠靠背骨架项目</t>
    <phoneticPr fontId="45" type="noConversion"/>
  </si>
  <si>
    <t>3.0海外出口配件靠背骨架-电动</t>
  </si>
  <si>
    <t>3.0海外出口配件靠背骨架-手动</t>
    <phoneticPr fontId="23" type="noConversion"/>
  </si>
  <si>
    <t>肩部折叠</t>
  </si>
  <si>
    <t>13个冲压件</t>
  </si>
  <si>
    <t>6序焊胎</t>
  </si>
  <si>
    <t>光华海外工厂——戴姆勒卡车集团DTAG</t>
    <phoneticPr fontId="45" type="noConversion"/>
  </si>
  <si>
    <t>供应商年降：       年0 %</t>
    <phoneticPr fontId="45" type="noConversion"/>
  </si>
  <si>
    <t>ZY2505</t>
    <phoneticPr fontId="4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</si>
</sst>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 * #,##0.00_ ;_ * \-#,##0.00_ ;_ * &quot;-&quot;??_ ;_ @_ "/>
    <numFmt numFmtId="176" formatCode="#,##0.00_ "/>
    <numFmt numFmtId="177" formatCode="_ * #,##0_ ;_ * \-#,##0_ ;_ * &quot;-&quot;??_ ;_ @_ "/>
    <numFmt numFmtId="178" formatCode="0.0%"/>
    <numFmt numFmtId="179" formatCode="0_ "/>
    <numFmt numFmtId="180" formatCode="0.00_ "/>
    <numFmt numFmtId="181" formatCode="&quot;$&quot;#,##0.00_);[Red]\(&quot;$&quot;#,##0.00\)"/>
  </numFmts>
  <fonts count="58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11"/>
      <color rgb="FF000000"/>
      <name val="宋体"/>
      <family val="3"/>
      <charset val="134"/>
    </font>
    <font>
      <sz val="11"/>
      <color rgb="FF000000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b/>
      <sz val="11"/>
      <name val="微软雅黑"/>
      <family val="2"/>
      <charset val="134"/>
    </font>
    <font>
      <b/>
      <sz val="9"/>
      <name val="微软雅黑"/>
      <family val="2"/>
      <charset val="134"/>
    </font>
    <font>
      <sz val="11"/>
      <name val="微软雅黑"/>
      <family val="2"/>
      <charset val="134"/>
    </font>
    <font>
      <sz val="9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sz val="12"/>
      <color rgb="FF000000"/>
      <name val="微软雅黑"/>
      <family val="2"/>
      <charset val="134"/>
    </font>
    <font>
      <b/>
      <sz val="12"/>
      <color rgb="FFFF0000"/>
      <name val="微软雅黑"/>
      <family val="2"/>
      <charset val="134"/>
    </font>
    <font>
      <b/>
      <sz val="16"/>
      <color indexed="8"/>
      <name val="宋体"/>
      <family val="3"/>
      <charset val="134"/>
    </font>
    <font>
      <sz val="10"/>
      <color indexed="12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11"/>
      <color rgb="FFFF0000"/>
      <name val="宋体"/>
      <family val="3"/>
      <charset val="134"/>
    </font>
    <font>
      <sz val="10"/>
      <color theme="1"/>
      <name val="微软雅黑"/>
      <family val="2"/>
      <charset val="134"/>
    </font>
    <font>
      <sz val="10"/>
      <color rgb="FFFF0000"/>
      <name val="微软雅黑"/>
      <family val="2"/>
      <charset val="134"/>
    </font>
    <font>
      <sz val="10"/>
      <name val="微软雅黑"/>
      <family val="2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9"/>
      <color rgb="FF00000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rgb="FF000000"/>
      <name val="微软雅黑"/>
      <family val="2"/>
      <charset val="134"/>
    </font>
    <font>
      <sz val="11"/>
      <color rgb="FFFF0000"/>
      <name val="宋体"/>
      <family val="3"/>
      <charset val="134"/>
      <scheme val="minor"/>
    </font>
    <font>
      <b/>
      <sz val="10"/>
      <name val="CorpoS"/>
      <family val="1"/>
    </font>
    <font>
      <b/>
      <sz val="10"/>
      <name val="微软雅黑"/>
      <family val="2"/>
      <charset val="134"/>
    </font>
    <font>
      <sz val="14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2"/>
      <color rgb="FF000000"/>
      <name val="微软雅黑"/>
      <family val="2"/>
      <charset val="134"/>
    </font>
    <font>
      <sz val="12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10"/>
      <name val="MS Sans Serif"/>
      <family val="1"/>
    </font>
    <font>
      <sz val="9"/>
      <name val="Arial"/>
      <family val="2"/>
    </font>
    <font>
      <sz val="12"/>
      <name val="宋体"/>
      <family val="3"/>
      <charset val="134"/>
    </font>
    <font>
      <sz val="12"/>
      <name val="Times New Roman"/>
      <family val="1"/>
    </font>
    <font>
      <b/>
      <sz val="12"/>
      <name val="仿宋体"/>
      <charset val="134"/>
    </font>
    <font>
      <sz val="11"/>
      <color indexed="8"/>
      <name val="宋体"/>
      <family val="3"/>
      <charset val="134"/>
    </font>
    <font>
      <b/>
      <sz val="8"/>
      <color indexed="8"/>
      <name val="宋体"/>
      <family val="3"/>
      <charset val="134"/>
    </font>
    <font>
      <b/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rgb="FFFF0000"/>
      <name val="微软雅黑"/>
      <family val="2"/>
      <charset val="134"/>
    </font>
    <font>
      <sz val="16"/>
      <color theme="1"/>
      <name val="微软雅黑"/>
      <family val="2"/>
      <charset val="134"/>
    </font>
    <font>
      <sz val="9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6"/>
      <color theme="1"/>
      <name val="微软雅黑"/>
      <family val="2"/>
      <charset val="134"/>
    </font>
    <font>
      <b/>
      <sz val="16"/>
      <color theme="1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i/>
      <sz val="11"/>
      <color theme="1"/>
      <name val="宋体"/>
      <family val="3"/>
      <charset val="134"/>
      <scheme val="minor"/>
    </font>
    <font>
      <sz val="8"/>
      <color theme="1"/>
      <name val="微软雅黑"/>
      <family val="2"/>
      <charset val="134"/>
    </font>
    <font>
      <sz val="11"/>
      <color rgb="FFFF0000"/>
      <name val="微软雅黑"/>
      <family val="2"/>
      <charset val="134"/>
    </font>
    <font>
      <b/>
      <sz val="11"/>
      <color rgb="FFFF0000"/>
      <name val="宋体"/>
      <family val="3"/>
      <charset val="134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2">
    <xf numFmtId="0" fontId="0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36" fillId="0" borderId="0"/>
    <xf numFmtId="0" fontId="37" fillId="0" borderId="2" applyNumberFormat="0" applyFill="0" applyBorder="0" applyAlignment="0" applyProtection="0">
      <alignment vertical="center"/>
    </xf>
    <xf numFmtId="0" fontId="44" fillId="0" borderId="0">
      <alignment vertical="center"/>
    </xf>
    <xf numFmtId="0" fontId="38" fillId="0" borderId="0"/>
    <xf numFmtId="0" fontId="39" fillId="0" borderId="0"/>
    <xf numFmtId="1" fontId="40" fillId="0" borderId="2" applyBorder="0"/>
    <xf numFmtId="43" fontId="41" fillId="0" borderId="0" applyFont="0" applyFill="0" applyBorder="0" applyAlignment="0" applyProtection="0">
      <alignment vertical="center"/>
    </xf>
    <xf numFmtId="0" fontId="38" fillId="0" borderId="0"/>
    <xf numFmtId="0" fontId="38" fillId="0" borderId="0"/>
  </cellStyleXfs>
  <cellXfs count="29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0" fontId="0" fillId="0" borderId="0" xfId="2" applyNumberFormat="1" applyFont="1" applyFill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>
      <alignment vertical="center"/>
    </xf>
    <xf numFmtId="43" fontId="0" fillId="0" borderId="2" xfId="1" applyFont="1" applyFill="1" applyBorder="1">
      <alignment vertical="center"/>
    </xf>
    <xf numFmtId="43" fontId="0" fillId="0" borderId="2" xfId="0" applyNumberFormat="1" applyFill="1" applyBorder="1" applyAlignment="1">
      <alignment horizontal="center" vertical="center"/>
    </xf>
    <xf numFmtId="10" fontId="0" fillId="0" borderId="2" xfId="0" applyNumberFormat="1" applyFill="1" applyBorder="1" applyAlignment="1">
      <alignment horizontal="center" vertical="center"/>
    </xf>
    <xf numFmtId="0" fontId="1" fillId="0" borderId="2" xfId="0" applyFont="1" applyFill="1" applyBorder="1">
      <alignment vertical="center"/>
    </xf>
    <xf numFmtId="43" fontId="1" fillId="0" borderId="2" xfId="1" applyFont="1" applyFill="1" applyBorder="1">
      <alignment vertical="center"/>
    </xf>
    <xf numFmtId="10" fontId="0" fillId="0" borderId="2" xfId="2" applyNumberFormat="1" applyFont="1" applyFill="1" applyBorder="1" applyAlignment="1">
      <alignment horizontal="center" vertical="center"/>
    </xf>
    <xf numFmtId="43" fontId="0" fillId="0" borderId="0" xfId="1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2" fillId="0" borderId="0" xfId="0" applyFont="1" applyBorder="1">
      <alignment vertical="center"/>
    </xf>
    <xf numFmtId="0" fontId="2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43" fontId="5" fillId="4" borderId="2" xfId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3" fontId="10" fillId="4" borderId="2" xfId="1" applyFont="1" applyFill="1" applyBorder="1" applyAlignment="1">
      <alignment horizontal="center" vertical="center" wrapText="1"/>
    </xf>
    <xf numFmtId="43" fontId="5" fillId="5" borderId="2" xfId="1" applyFont="1" applyFill="1" applyBorder="1" applyAlignment="1">
      <alignment horizontal="center" vertical="center" wrapText="1"/>
    </xf>
    <xf numFmtId="43" fontId="10" fillId="0" borderId="2" xfId="1" applyFont="1" applyBorder="1" applyAlignment="1">
      <alignment vertical="center" wrapText="1"/>
    </xf>
    <xf numFmtId="43" fontId="5" fillId="0" borderId="0" xfId="0" applyNumberFormat="1" applyFont="1" applyAlignment="1">
      <alignment horizontal="center" vertical="center" wrapText="1"/>
    </xf>
    <xf numFmtId="43" fontId="2" fillId="0" borderId="0" xfId="0" applyNumberFormat="1" applyFont="1" applyBorder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11" fillId="0" borderId="0" xfId="0" applyFont="1" applyFill="1" applyAlignment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43" fontId="0" fillId="0" borderId="0" xfId="1" applyFont="1">
      <alignment vertical="center"/>
    </xf>
    <xf numFmtId="179" fontId="15" fillId="7" borderId="2" xfId="7" applyNumberFormat="1" applyFont="1" applyFill="1" applyBorder="1" applyAlignment="1">
      <alignment horizontal="center" vertical="center" wrapText="1"/>
    </xf>
    <xf numFmtId="43" fontId="15" fillId="7" borderId="2" xfId="1" applyFont="1" applyFill="1" applyBorder="1" applyAlignment="1">
      <alignment horizontal="center" vertical="center" wrapText="1"/>
    </xf>
    <xf numFmtId="0" fontId="15" fillId="7" borderId="2" xfId="3" applyNumberFormat="1" applyFont="1" applyFill="1" applyBorder="1" applyAlignment="1" applyProtection="1">
      <alignment horizontal="center" vertical="center"/>
    </xf>
    <xf numFmtId="0" fontId="0" fillId="0" borderId="2" xfId="0" applyBorder="1" applyAlignment="1">
      <alignment horizontal="center" vertical="center"/>
    </xf>
    <xf numFmtId="43" fontId="0" fillId="0" borderId="2" xfId="1" applyFont="1" applyBorder="1" applyAlignment="1">
      <alignment horizontal="center" vertical="center"/>
    </xf>
    <xf numFmtId="179" fontId="16" fillId="0" borderId="2" xfId="7" applyNumberFormat="1" applyFont="1" applyFill="1" applyBorder="1" applyAlignment="1">
      <alignment horizontal="left" vertical="center"/>
    </xf>
    <xf numFmtId="43" fontId="16" fillId="4" borderId="2" xfId="1" applyFont="1" applyFill="1" applyBorder="1" applyAlignment="1">
      <alignment horizontal="center" vertical="center"/>
    </xf>
    <xf numFmtId="0" fontId="17" fillId="6" borderId="2" xfId="3" applyNumberFormat="1" applyFont="1" applyFill="1" applyBorder="1" applyAlignment="1" applyProtection="1">
      <alignment horizontal="center" vertical="center"/>
    </xf>
    <xf numFmtId="0" fontId="0" fillId="0" borderId="2" xfId="0" applyBorder="1">
      <alignment vertical="center"/>
    </xf>
    <xf numFmtId="43" fontId="3" fillId="3" borderId="2" xfId="1" applyFont="1" applyFill="1" applyBorder="1" applyAlignment="1" applyProtection="1">
      <alignment horizontal="center" vertical="center"/>
    </xf>
    <xf numFmtId="0" fontId="18" fillId="6" borderId="2" xfId="3" applyNumberFormat="1" applyFont="1" applyFill="1" applyBorder="1" applyAlignment="1" applyProtection="1">
      <alignment horizontal="center" vertical="center"/>
    </xf>
    <xf numFmtId="43" fontId="16" fillId="0" borderId="2" xfId="1" applyFont="1" applyFill="1" applyBorder="1" applyAlignment="1">
      <alignment horizontal="center" vertical="center"/>
    </xf>
    <xf numFmtId="0" fontId="0" fillId="8" borderId="2" xfId="0" applyFill="1" applyBorder="1">
      <alignment vertical="center"/>
    </xf>
    <xf numFmtId="179" fontId="16" fillId="0" borderId="3" xfId="7" applyNumberFormat="1" applyFont="1" applyFill="1" applyBorder="1" applyAlignment="1">
      <alignment horizontal="center" vertical="center"/>
    </xf>
    <xf numFmtId="179" fontId="16" fillId="0" borderId="3" xfId="7" applyNumberFormat="1" applyFont="1" applyFill="1" applyBorder="1" applyAlignment="1">
      <alignment horizontal="left" vertical="center" wrapText="1"/>
    </xf>
    <xf numFmtId="0" fontId="17" fillId="6" borderId="2" xfId="3" applyNumberFormat="1" applyFont="1" applyFill="1" applyBorder="1" applyAlignment="1" applyProtection="1">
      <alignment horizontal="center" vertical="center" wrapText="1"/>
    </xf>
    <xf numFmtId="43" fontId="16" fillId="3" borderId="2" xfId="1" applyFont="1" applyFill="1" applyBorder="1" applyAlignment="1" applyProtection="1">
      <alignment horizontal="center" vertical="center"/>
    </xf>
    <xf numFmtId="0" fontId="19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2" fillId="8" borderId="2" xfId="0" applyFont="1" applyFill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readingOrder="1"/>
    </xf>
    <xf numFmtId="43" fontId="9" fillId="0" borderId="2" xfId="0" applyNumberFormat="1" applyFont="1" applyBorder="1">
      <alignment vertical="center"/>
    </xf>
    <xf numFmtId="43" fontId="9" fillId="0" borderId="2" xfId="1" applyNumberFormat="1" applyFont="1" applyBorder="1">
      <alignment vertical="center"/>
    </xf>
    <xf numFmtId="43" fontId="9" fillId="0" borderId="2" xfId="1" applyFont="1" applyBorder="1">
      <alignment vertical="center"/>
    </xf>
    <xf numFmtId="0" fontId="2" fillId="0" borderId="6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20" fillId="0" borderId="0" xfId="0" applyFont="1" applyFill="1">
      <alignment vertical="center"/>
    </xf>
    <xf numFmtId="0" fontId="21" fillId="0" borderId="0" xfId="0" applyFont="1" applyFill="1">
      <alignment vertical="center"/>
    </xf>
    <xf numFmtId="0" fontId="22" fillId="0" borderId="0" xfId="0" applyFont="1" applyFill="1">
      <alignment vertical="center"/>
    </xf>
    <xf numFmtId="43" fontId="20" fillId="0" borderId="0" xfId="1" applyFont="1" applyFill="1">
      <alignment vertical="center"/>
    </xf>
    <xf numFmtId="0" fontId="20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>
      <alignment vertical="center"/>
    </xf>
    <xf numFmtId="0" fontId="26" fillId="0" borderId="2" xfId="0" applyFont="1" applyFill="1" applyBorder="1" applyAlignment="1">
      <alignment horizontal="center" vertical="center"/>
    </xf>
    <xf numFmtId="0" fontId="27" fillId="4" borderId="2" xfId="0" applyFont="1" applyFill="1" applyBorder="1" applyAlignment="1">
      <alignment horizontal="center" vertical="center" wrapText="1" readingOrder="1"/>
    </xf>
    <xf numFmtId="43" fontId="20" fillId="0" borderId="2" xfId="1" applyFont="1" applyFill="1" applyBorder="1" applyAlignment="1">
      <alignment horizontal="center" vertical="center"/>
    </xf>
    <xf numFmtId="43" fontId="20" fillId="0" borderId="0" xfId="0" applyNumberFormat="1" applyFont="1" applyFill="1">
      <alignment vertical="center"/>
    </xf>
    <xf numFmtId="0" fontId="26" fillId="0" borderId="2" xfId="0" applyFont="1" applyFill="1" applyBorder="1">
      <alignment vertical="center"/>
    </xf>
    <xf numFmtId="10" fontId="20" fillId="0" borderId="2" xfId="2" applyNumberFormat="1" applyFont="1" applyFill="1" applyBorder="1" applyAlignment="1">
      <alignment horizontal="center" vertical="center"/>
    </xf>
    <xf numFmtId="10" fontId="20" fillId="0" borderId="0" xfId="0" applyNumberFormat="1" applyFont="1" applyFill="1">
      <alignment vertical="center"/>
    </xf>
    <xf numFmtId="0" fontId="21" fillId="0" borderId="2" xfId="0" applyFont="1" applyFill="1" applyBorder="1">
      <alignment vertical="center"/>
    </xf>
    <xf numFmtId="43" fontId="21" fillId="0" borderId="2" xfId="1" applyFont="1" applyFill="1" applyBorder="1">
      <alignment vertical="center"/>
    </xf>
    <xf numFmtId="0" fontId="28" fillId="0" borderId="0" xfId="0" applyFont="1" applyFill="1">
      <alignment vertical="center"/>
    </xf>
    <xf numFmtId="43" fontId="20" fillId="0" borderId="2" xfId="1" applyFont="1" applyFill="1" applyBorder="1">
      <alignment vertical="center"/>
    </xf>
    <xf numFmtId="0" fontId="22" fillId="0" borderId="2" xfId="0" applyFont="1" applyFill="1" applyBorder="1">
      <alignment vertical="center"/>
    </xf>
    <xf numFmtId="180" fontId="20" fillId="0" borderId="0" xfId="0" applyNumberFormat="1" applyFont="1" applyFill="1">
      <alignment vertical="center"/>
    </xf>
    <xf numFmtId="10" fontId="20" fillId="0" borderId="2" xfId="2" applyNumberFormat="1" applyFont="1" applyFill="1" applyBorder="1">
      <alignment vertical="center"/>
    </xf>
    <xf numFmtId="43" fontId="21" fillId="0" borderId="2" xfId="1" applyFont="1" applyFill="1" applyBorder="1" applyAlignment="1">
      <alignment horizontal="center" vertical="center"/>
    </xf>
    <xf numFmtId="43" fontId="20" fillId="0" borderId="2" xfId="0" applyNumberFormat="1" applyFont="1" applyFill="1" applyBorder="1">
      <alignment vertical="center"/>
    </xf>
    <xf numFmtId="43" fontId="22" fillId="0" borderId="2" xfId="1" applyFont="1" applyFill="1" applyBorder="1">
      <alignment vertical="center"/>
    </xf>
    <xf numFmtId="43" fontId="20" fillId="0" borderId="0" xfId="1" applyFont="1" applyFill="1" applyAlignment="1">
      <alignment horizontal="center" vertical="center"/>
    </xf>
    <xf numFmtId="43" fontId="0" fillId="0" borderId="0" xfId="1" applyFont="1" applyFill="1">
      <alignment vertical="center"/>
    </xf>
    <xf numFmtId="0" fontId="12" fillId="4" borderId="2" xfId="0" applyFont="1" applyFill="1" applyBorder="1" applyAlignment="1">
      <alignment horizontal="center" vertical="center" wrapText="1" readingOrder="1"/>
    </xf>
    <xf numFmtId="0" fontId="22" fillId="0" borderId="0" xfId="0" applyFont="1">
      <alignment vertical="center"/>
    </xf>
    <xf numFmtId="0" fontId="20" fillId="0" borderId="0" xfId="0" applyFont="1" applyBorder="1">
      <alignment vertical="center"/>
    </xf>
    <xf numFmtId="0" fontId="20" fillId="0" borderId="0" xfId="0" applyFont="1">
      <alignment vertical="center"/>
    </xf>
    <xf numFmtId="43" fontId="20" fillId="0" borderId="0" xfId="1" applyFont="1">
      <alignment vertical="center"/>
    </xf>
    <xf numFmtId="43" fontId="29" fillId="0" borderId="2" xfId="1" applyFont="1" applyFill="1" applyBorder="1" applyAlignment="1">
      <alignment horizontal="center" vertical="center" wrapText="1"/>
    </xf>
    <xf numFmtId="177" fontId="20" fillId="0" borderId="2" xfId="1" applyNumberFormat="1" applyFont="1" applyFill="1" applyBorder="1" applyAlignment="1">
      <alignment horizontal="center" vertical="center"/>
    </xf>
    <xf numFmtId="177" fontId="22" fillId="0" borderId="2" xfId="1" applyNumberFormat="1" applyFont="1" applyFill="1" applyBorder="1" applyAlignment="1">
      <alignment horizontal="center" vertical="center"/>
    </xf>
    <xf numFmtId="0" fontId="30" fillId="0" borderId="2" xfId="0" applyFont="1" applyFill="1" applyBorder="1">
      <alignment vertical="center"/>
    </xf>
    <xf numFmtId="0" fontId="20" fillId="0" borderId="2" xfId="0" applyFont="1" applyBorder="1">
      <alignment vertical="center"/>
    </xf>
    <xf numFmtId="10" fontId="22" fillId="0" borderId="2" xfId="2" applyNumberFormat="1" applyFont="1" applyBorder="1" applyAlignment="1">
      <alignment vertical="center"/>
    </xf>
    <xf numFmtId="177" fontId="22" fillId="0" borderId="2" xfId="1" applyNumberFormat="1" applyFont="1" applyBorder="1" applyAlignment="1">
      <alignment horizontal="center" vertical="center"/>
    </xf>
    <xf numFmtId="177" fontId="20" fillId="0" borderId="2" xfId="1" applyNumberFormat="1" applyFont="1" applyFill="1" applyBorder="1">
      <alignment vertical="center"/>
    </xf>
    <xf numFmtId="177" fontId="20" fillId="0" borderId="2" xfId="1" applyNumberFormat="1" applyFont="1" applyBorder="1" applyAlignment="1">
      <alignment horizontal="center" vertical="center"/>
    </xf>
    <xf numFmtId="10" fontId="20" fillId="0" borderId="2" xfId="2" applyNumberFormat="1" applyFont="1" applyBorder="1">
      <alignment vertical="center"/>
    </xf>
    <xf numFmtId="10" fontId="20" fillId="0" borderId="0" xfId="2" applyNumberFormat="1" applyFont="1" applyBorder="1">
      <alignment vertical="center"/>
    </xf>
    <xf numFmtId="43" fontId="20" fillId="0" borderId="0" xfId="1" applyFont="1" applyBorder="1">
      <alignment vertical="center"/>
    </xf>
    <xf numFmtId="0" fontId="26" fillId="0" borderId="2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vertical="center" wrapText="1"/>
    </xf>
    <xf numFmtId="43" fontId="20" fillId="0" borderId="2" xfId="1" applyFont="1" applyBorder="1">
      <alignment vertical="center"/>
    </xf>
    <xf numFmtId="177" fontId="20" fillId="0" borderId="2" xfId="1" applyNumberFormat="1" applyFont="1" applyBorder="1">
      <alignment vertical="center"/>
    </xf>
    <xf numFmtId="43" fontId="24" fillId="0" borderId="2" xfId="1" applyFont="1" applyFill="1" applyBorder="1" applyAlignment="1">
      <alignment horizontal="center" vertical="center" wrapText="1"/>
    </xf>
    <xf numFmtId="0" fontId="22" fillId="0" borderId="2" xfId="0" applyFont="1" applyBorder="1">
      <alignment vertical="center"/>
    </xf>
    <xf numFmtId="0" fontId="30" fillId="0" borderId="2" xfId="0" applyFont="1" applyBorder="1">
      <alignment vertical="center"/>
    </xf>
    <xf numFmtId="0" fontId="20" fillId="0" borderId="6" xfId="0" applyFont="1" applyBorder="1">
      <alignment vertical="center"/>
    </xf>
    <xf numFmtId="1" fontId="16" fillId="6" borderId="0" xfId="3" applyNumberFormat="1" applyFont="1" applyFill="1" applyProtection="1"/>
    <xf numFmtId="0" fontId="16" fillId="6" borderId="0" xfId="3" applyFont="1" applyFill="1" applyProtection="1"/>
    <xf numFmtId="0" fontId="31" fillId="6" borderId="0" xfId="3" applyFont="1" applyFill="1" applyAlignment="1" applyProtection="1">
      <alignment horizontal="centerContinuous"/>
    </xf>
    <xf numFmtId="0" fontId="16" fillId="6" borderId="0" xfId="3" applyFont="1" applyFill="1" applyAlignment="1">
      <alignment horizontal="centerContinuous"/>
    </xf>
    <xf numFmtId="0" fontId="16" fillId="6" borderId="0" xfId="3" applyFont="1" applyFill="1" applyAlignment="1" applyProtection="1">
      <alignment horizontal="centerContinuous"/>
    </xf>
    <xf numFmtId="9" fontId="16" fillId="6" borderId="0" xfId="3" applyNumberFormat="1" applyFont="1" applyFill="1" applyProtection="1"/>
    <xf numFmtId="0" fontId="16" fillId="6" borderId="6" xfId="3" applyFont="1" applyFill="1" applyBorder="1" applyAlignment="1" applyProtection="1">
      <alignment horizontal="center"/>
    </xf>
    <xf numFmtId="0" fontId="18" fillId="6" borderId="2" xfId="3" applyFont="1" applyFill="1" applyBorder="1" applyAlignment="1" applyProtection="1">
      <alignment horizontal="center"/>
    </xf>
    <xf numFmtId="0" fontId="18" fillId="6" borderId="4" xfId="3" applyFont="1" applyFill="1" applyBorder="1" applyAlignment="1" applyProtection="1">
      <alignment horizontal="center"/>
    </xf>
    <xf numFmtId="1" fontId="18" fillId="6" borderId="4" xfId="8" applyFont="1" applyFill="1" applyBorder="1"/>
    <xf numFmtId="1" fontId="16" fillId="6" borderId="4" xfId="8" applyFont="1" applyFill="1" applyBorder="1"/>
    <xf numFmtId="0" fontId="16" fillId="6" borderId="7" xfId="3" applyFont="1" applyFill="1" applyBorder="1" applyProtection="1"/>
    <xf numFmtId="0" fontId="16" fillId="6" borderId="2" xfId="3" applyFont="1" applyFill="1" applyBorder="1" applyAlignment="1" applyProtection="1">
      <alignment horizontal="center"/>
    </xf>
    <xf numFmtId="0" fontId="16" fillId="6" borderId="2" xfId="3" applyFont="1" applyFill="1" applyBorder="1" applyAlignment="1" applyProtection="1">
      <alignment horizontal="left"/>
    </xf>
    <xf numFmtId="0" fontId="16" fillId="9" borderId="2" xfId="3" applyFont="1" applyFill="1" applyBorder="1" applyProtection="1"/>
    <xf numFmtId="177" fontId="16" fillId="9" borderId="2" xfId="1" applyNumberFormat="1" applyFont="1" applyFill="1" applyBorder="1" applyAlignment="1" applyProtection="1"/>
    <xf numFmtId="0" fontId="16" fillId="6" borderId="2" xfId="3" applyFont="1" applyFill="1" applyBorder="1" applyProtection="1"/>
    <xf numFmtId="177" fontId="16" fillId="6" borderId="2" xfId="1" applyNumberFormat="1" applyFont="1" applyFill="1" applyBorder="1" applyAlignment="1" applyProtection="1"/>
    <xf numFmtId="0" fontId="16" fillId="6" borderId="2" xfId="3" applyNumberFormat="1" applyFont="1" applyFill="1" applyBorder="1" applyAlignment="1" applyProtection="1">
      <alignment horizontal="left"/>
    </xf>
    <xf numFmtId="1" fontId="16" fillId="6" borderId="2" xfId="3" applyNumberFormat="1" applyFont="1" applyFill="1" applyBorder="1" applyProtection="1"/>
    <xf numFmtId="1" fontId="16" fillId="6" borderId="2" xfId="3" applyNumberFormat="1" applyFont="1" applyFill="1" applyBorder="1" applyAlignment="1" applyProtection="1">
      <alignment horizontal="left"/>
    </xf>
    <xf numFmtId="0" fontId="16" fillId="6" borderId="8" xfId="3" applyFont="1" applyFill="1" applyBorder="1" applyProtection="1"/>
    <xf numFmtId="0" fontId="16" fillId="6" borderId="11" xfId="3" applyFont="1" applyFill="1" applyBorder="1" applyProtection="1"/>
    <xf numFmtId="0" fontId="16" fillId="6" borderId="12" xfId="3" applyFont="1" applyFill="1" applyBorder="1" applyProtection="1"/>
    <xf numFmtId="0" fontId="16" fillId="6" borderId="0" xfId="3" applyFont="1" applyFill="1" applyBorder="1" applyProtection="1"/>
    <xf numFmtId="181" fontId="16" fillId="6" borderId="0" xfId="3" applyNumberFormat="1" applyFont="1" applyFill="1" applyBorder="1" applyProtection="1"/>
    <xf numFmtId="10" fontId="16" fillId="6" borderId="0" xfId="3" applyNumberFormat="1" applyFont="1" applyFill="1" applyBorder="1" applyProtection="1"/>
    <xf numFmtId="1" fontId="16" fillId="6" borderId="0" xfId="3" applyNumberFormat="1" applyFont="1" applyFill="1" applyBorder="1" applyProtection="1"/>
    <xf numFmtId="0" fontId="16" fillId="6" borderId="13" xfId="3" applyFont="1" applyFill="1" applyBorder="1" applyProtection="1"/>
    <xf numFmtId="0" fontId="16" fillId="6" borderId="1" xfId="3" applyFont="1" applyFill="1" applyBorder="1" applyProtection="1"/>
    <xf numFmtId="2" fontId="16" fillId="6" borderId="1" xfId="3" applyNumberFormat="1" applyFont="1" applyFill="1" applyBorder="1" applyProtection="1"/>
    <xf numFmtId="0" fontId="16" fillId="6" borderId="5" xfId="3" applyFont="1" applyFill="1" applyBorder="1"/>
    <xf numFmtId="1" fontId="16" fillId="6" borderId="7" xfId="8" applyFont="1" applyFill="1" applyBorder="1" applyAlignment="1">
      <alignment horizontal="center"/>
    </xf>
    <xf numFmtId="0" fontId="16" fillId="6" borderId="9" xfId="3" applyFont="1" applyFill="1" applyBorder="1" applyProtection="1"/>
    <xf numFmtId="0" fontId="16" fillId="6" borderId="14" xfId="3" applyFont="1" applyFill="1" applyBorder="1" applyProtection="1"/>
    <xf numFmtId="0" fontId="16" fillId="6" borderId="15" xfId="3" applyFont="1" applyFill="1" applyBorder="1" applyProtection="1"/>
    <xf numFmtId="0" fontId="32" fillId="0" borderId="0" xfId="0" applyFont="1">
      <alignment vertical="center"/>
    </xf>
    <xf numFmtId="0" fontId="33" fillId="0" borderId="2" xfId="0" applyFont="1" applyBorder="1" applyAlignment="1">
      <alignment horizontal="center" vertical="center" wrapText="1" readingOrder="1"/>
    </xf>
    <xf numFmtId="0" fontId="32" fillId="0" borderId="0" xfId="0" applyFont="1" applyFill="1">
      <alignment vertical="center"/>
    </xf>
    <xf numFmtId="0" fontId="12" fillId="0" borderId="2" xfId="0" applyFont="1" applyBorder="1" applyAlignment="1">
      <alignment horizontal="center" vertical="center" wrapText="1" readingOrder="1"/>
    </xf>
    <xf numFmtId="0" fontId="34" fillId="0" borderId="2" xfId="0" applyFont="1" applyBorder="1" applyAlignment="1">
      <alignment horizontal="left" vertical="center" wrapText="1" readingOrder="1"/>
    </xf>
    <xf numFmtId="0" fontId="34" fillId="0" borderId="2" xfId="0" applyFont="1" applyFill="1" applyBorder="1" applyAlignment="1">
      <alignment horizontal="left" vertical="center" wrapText="1" readingOrder="1"/>
    </xf>
    <xf numFmtId="0" fontId="34" fillId="0" borderId="2" xfId="0" applyFont="1" applyBorder="1" applyAlignment="1">
      <alignment horizontal="center" vertical="center" wrapText="1" readingOrder="1"/>
    </xf>
    <xf numFmtId="0" fontId="34" fillId="0" borderId="0" xfId="0" applyFont="1" applyFill="1" applyBorder="1" applyAlignment="1">
      <alignment horizontal="left" vertical="center" wrapText="1" readingOrder="1"/>
    </xf>
    <xf numFmtId="0" fontId="35" fillId="0" borderId="2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vertical="center"/>
    </xf>
    <xf numFmtId="0" fontId="26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 wrapText="1"/>
    </xf>
    <xf numFmtId="0" fontId="48" fillId="0" borderId="2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35" fillId="0" borderId="0" xfId="0" applyFont="1" applyFill="1">
      <alignment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176" fontId="2" fillId="0" borderId="0" xfId="0" applyNumberFormat="1" applyFont="1" applyFill="1" applyAlignment="1">
      <alignment vertical="center"/>
    </xf>
    <xf numFmtId="177" fontId="2" fillId="0" borderId="0" xfId="1" applyNumberFormat="1" applyFont="1" applyFill="1" applyAlignment="1">
      <alignment vertical="center"/>
    </xf>
    <xf numFmtId="10" fontId="2" fillId="0" borderId="0" xfId="0" applyNumberFormat="1" applyFont="1" applyFill="1" applyAlignment="1">
      <alignment vertical="center"/>
    </xf>
    <xf numFmtId="177" fontId="12" fillId="0" borderId="2" xfId="1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43" fontId="2" fillId="0" borderId="0" xfId="1" applyFont="1" applyFill="1" applyAlignment="1">
      <alignment vertical="center"/>
    </xf>
    <xf numFmtId="0" fontId="2" fillId="0" borderId="2" xfId="0" applyFont="1" applyFill="1" applyBorder="1" applyAlignment="1">
      <alignment vertical="center"/>
    </xf>
    <xf numFmtId="43" fontId="2" fillId="0" borderId="2" xfId="0" applyNumberFormat="1" applyFont="1" applyFill="1" applyBorder="1" applyAlignment="1">
      <alignment vertical="center"/>
    </xf>
    <xf numFmtId="43" fontId="2" fillId="0" borderId="2" xfId="1" applyFont="1" applyFill="1" applyBorder="1" applyAlignment="1">
      <alignment vertical="center"/>
    </xf>
    <xf numFmtId="178" fontId="2" fillId="0" borderId="2" xfId="2" applyNumberFormat="1" applyFont="1" applyFill="1" applyBorder="1" applyAlignment="1">
      <alignment vertical="center"/>
    </xf>
    <xf numFmtId="0" fontId="0" fillId="0" borderId="2" xfId="0" applyFill="1" applyBorder="1" applyAlignment="1">
      <alignment horizontal="left" vertical="center"/>
    </xf>
    <xf numFmtId="0" fontId="35" fillId="0" borderId="2" xfId="0" applyFont="1" applyFill="1" applyBorder="1" applyAlignment="1">
      <alignment horizontal="center" vertical="center"/>
    </xf>
    <xf numFmtId="10" fontId="35" fillId="0" borderId="0" xfId="2" applyNumberFormat="1" applyFont="1" applyFill="1">
      <alignment vertical="center"/>
    </xf>
    <xf numFmtId="10" fontId="0" fillId="0" borderId="0" xfId="2" applyNumberFormat="1" applyFont="1" applyFill="1">
      <alignment vertical="center"/>
    </xf>
    <xf numFmtId="10" fontId="54" fillId="0" borderId="2" xfId="2" applyNumberFormat="1" applyFont="1" applyFill="1" applyBorder="1" applyAlignment="1">
      <alignment horizontal="center" vertical="center"/>
    </xf>
    <xf numFmtId="10" fontId="0" fillId="5" borderId="0" xfId="2" applyNumberFormat="1" applyFont="1" applyFill="1">
      <alignment vertical="center"/>
    </xf>
    <xf numFmtId="10" fontId="0" fillId="5" borderId="0" xfId="0" applyNumberFormat="1" applyFill="1">
      <alignment vertical="center"/>
    </xf>
    <xf numFmtId="0" fontId="0" fillId="5" borderId="0" xfId="0" applyFill="1">
      <alignment vertical="center"/>
    </xf>
    <xf numFmtId="180" fontId="9" fillId="0" borderId="2" xfId="0" applyNumberFormat="1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 readingOrder="1"/>
    </xf>
    <xf numFmtId="0" fontId="2" fillId="0" borderId="0" xfId="0" applyFont="1" applyFill="1" applyAlignment="1">
      <alignment vertical="center" wrapText="1"/>
    </xf>
    <xf numFmtId="176" fontId="2" fillId="0" borderId="0" xfId="0" applyNumberFormat="1" applyFont="1" applyFill="1" applyAlignment="1">
      <alignment vertical="center" wrapText="1"/>
    </xf>
    <xf numFmtId="43" fontId="5" fillId="0" borderId="2" xfId="1" applyFont="1" applyFill="1" applyBorder="1" applyAlignment="1">
      <alignment horizontal="center" vertical="center" wrapText="1"/>
    </xf>
    <xf numFmtId="43" fontId="5" fillId="0" borderId="2" xfId="1" applyFont="1" applyFill="1" applyBorder="1" applyAlignment="1">
      <alignment vertical="center" wrapText="1"/>
    </xf>
    <xf numFmtId="0" fontId="55" fillId="0" borderId="2" xfId="0" applyFont="1" applyFill="1" applyBorder="1" applyAlignment="1">
      <alignment horizontal="center" vertical="center" wrapText="1" readingOrder="1"/>
    </xf>
    <xf numFmtId="0" fontId="3" fillId="0" borderId="2" xfId="0" applyFont="1" applyFill="1" applyBorder="1" applyAlignment="1">
      <alignment horizontal="left" vertical="center"/>
    </xf>
    <xf numFmtId="0" fontId="0" fillId="0" borderId="2" xfId="0" applyFill="1" applyBorder="1" applyAlignment="1">
      <alignment vertical="center"/>
    </xf>
    <xf numFmtId="0" fontId="55" fillId="0" borderId="2" xfId="0" applyFont="1" applyFill="1" applyBorder="1" applyAlignment="1">
      <alignment horizontal="left" vertical="center" wrapText="1"/>
    </xf>
    <xf numFmtId="2" fontId="55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vertical="center"/>
    </xf>
    <xf numFmtId="0" fontId="55" fillId="0" borderId="5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 readingOrder="1"/>
    </xf>
    <xf numFmtId="0" fontId="2" fillId="0" borderId="9" xfId="0" applyFont="1" applyFill="1" applyBorder="1" applyAlignment="1">
      <alignment horizontal="center" vertical="center" wrapText="1"/>
    </xf>
    <xf numFmtId="0" fontId="49" fillId="0" borderId="2" xfId="0" applyFont="1" applyFill="1" applyBorder="1" applyAlignment="1">
      <alignment horizontal="center" vertical="center" wrapText="1"/>
    </xf>
    <xf numFmtId="0" fontId="55" fillId="0" borderId="2" xfId="0" applyFont="1" applyFill="1" applyBorder="1" applyAlignment="1">
      <alignment horizontal="center" vertical="center"/>
    </xf>
    <xf numFmtId="43" fontId="0" fillId="0" borderId="0" xfId="0" applyNumberFormat="1">
      <alignment vertical="center"/>
    </xf>
    <xf numFmtId="0" fontId="35" fillId="0" borderId="0" xfId="0" applyFont="1" applyAlignment="1">
      <alignment horizontal="center" vertical="center"/>
    </xf>
    <xf numFmtId="0" fontId="20" fillId="10" borderId="2" xfId="0" applyFont="1" applyFill="1" applyBorder="1">
      <alignment vertical="center"/>
    </xf>
    <xf numFmtId="177" fontId="20" fillId="10" borderId="2" xfId="1" applyNumberFormat="1" applyFont="1" applyFill="1" applyBorder="1" applyAlignment="1">
      <alignment horizontal="center" vertical="center"/>
    </xf>
    <xf numFmtId="177" fontId="22" fillId="10" borderId="2" xfId="1" applyNumberFormat="1" applyFont="1" applyFill="1" applyBorder="1" applyAlignment="1">
      <alignment horizontal="center" vertical="center"/>
    </xf>
    <xf numFmtId="0" fontId="26" fillId="10" borderId="2" xfId="0" applyFont="1" applyFill="1" applyBorder="1">
      <alignment vertical="center"/>
    </xf>
    <xf numFmtId="0" fontId="30" fillId="10" borderId="2" xfId="0" applyFont="1" applyFill="1" applyBorder="1">
      <alignment vertical="center"/>
    </xf>
    <xf numFmtId="0" fontId="12" fillId="0" borderId="2" xfId="0" applyFont="1" applyFill="1" applyBorder="1" applyAlignment="1">
      <alignment horizontal="center" vertical="center" wrapText="1"/>
    </xf>
    <xf numFmtId="0" fontId="56" fillId="0" borderId="9" xfId="0" applyFont="1" applyFill="1" applyBorder="1" applyAlignment="1">
      <alignment horizontal="center" vertical="center" wrapText="1"/>
    </xf>
    <xf numFmtId="0" fontId="56" fillId="0" borderId="2" xfId="0" applyFont="1" applyFill="1" applyBorder="1" applyAlignment="1">
      <alignment horizontal="center" vertical="center" wrapText="1"/>
    </xf>
    <xf numFmtId="0" fontId="56" fillId="5" borderId="2" xfId="0" applyFont="1" applyFill="1" applyBorder="1" applyAlignment="1">
      <alignment horizontal="center" vertical="center" wrapText="1"/>
    </xf>
    <xf numFmtId="0" fontId="46" fillId="5" borderId="2" xfId="0" applyFont="1" applyFill="1" applyBorder="1" applyAlignment="1">
      <alignment horizontal="center" vertical="center" wrapText="1" readingOrder="1"/>
    </xf>
    <xf numFmtId="43" fontId="56" fillId="5" borderId="2" xfId="0" applyNumberFormat="1" applyFont="1" applyFill="1" applyBorder="1" applyAlignment="1">
      <alignment horizontal="center" vertical="center" wrapText="1"/>
    </xf>
    <xf numFmtId="10" fontId="57" fillId="0" borderId="0" xfId="2" applyNumberFormat="1" applyFont="1" applyFill="1" applyAlignment="1">
      <alignment horizontal="center" vertical="center"/>
    </xf>
    <xf numFmtId="177" fontId="20" fillId="0" borderId="0" xfId="0" applyNumberFormat="1" applyFont="1">
      <alignment vertical="center"/>
    </xf>
    <xf numFmtId="0" fontId="22" fillId="0" borderId="0" xfId="0" applyFont="1" applyAlignment="1">
      <alignment horizontal="center" vertical="center"/>
    </xf>
    <xf numFmtId="10" fontId="0" fillId="2" borderId="2" xfId="2" applyNumberFormat="1" applyFont="1" applyFill="1" applyBorder="1" applyAlignment="1">
      <alignment horizontal="center" vertical="center"/>
    </xf>
    <xf numFmtId="0" fontId="12" fillId="0" borderId="6" xfId="0" applyFont="1" applyBorder="1" applyAlignment="1">
      <alignment horizontal="center" vertical="center" wrapText="1" readingOrder="1"/>
    </xf>
    <xf numFmtId="0" fontId="12" fillId="0" borderId="10" xfId="0" applyFont="1" applyBorder="1" applyAlignment="1">
      <alignment horizontal="center" vertical="center" wrapText="1" readingOrder="1"/>
    </xf>
    <xf numFmtId="0" fontId="18" fillId="6" borderId="2" xfId="3" applyFont="1" applyFill="1" applyBorder="1" applyAlignment="1" applyProtection="1">
      <alignment horizontal="center"/>
    </xf>
    <xf numFmtId="0" fontId="26" fillId="0" borderId="6" xfId="0" applyFont="1" applyFill="1" applyBorder="1" applyAlignment="1">
      <alignment horizontal="center" vertical="center"/>
    </xf>
    <xf numFmtId="0" fontId="26" fillId="0" borderId="7" xfId="0" applyFont="1" applyFill="1" applyBorder="1" applyAlignment="1">
      <alignment horizontal="center" vertical="center"/>
    </xf>
    <xf numFmtId="0" fontId="47" fillId="0" borderId="0" xfId="0" applyFont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43" fontId="24" fillId="0" borderId="6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43" fontId="24" fillId="0" borderId="7" xfId="1" applyFont="1" applyFill="1" applyBorder="1" applyAlignment="1">
      <alignment horizontal="center" vertical="center" wrapText="1"/>
    </xf>
    <xf numFmtId="43" fontId="20" fillId="0" borderId="3" xfId="1" applyFont="1" applyFill="1" applyBorder="1" applyAlignment="1">
      <alignment horizontal="center" vertical="center"/>
    </xf>
    <xf numFmtId="43" fontId="20" fillId="0" borderId="4" xfId="1" applyFont="1" applyFill="1" applyBorder="1" applyAlignment="1">
      <alignment horizontal="center" vertical="center"/>
    </xf>
    <xf numFmtId="43" fontId="20" fillId="0" borderId="5" xfId="1" applyFont="1" applyFill="1" applyBorder="1" applyAlignment="1">
      <alignment horizontal="center" vertical="center"/>
    </xf>
    <xf numFmtId="43" fontId="20" fillId="4" borderId="2" xfId="1" applyFont="1" applyFill="1" applyBorder="1" applyAlignment="1">
      <alignment horizontal="center" vertical="center"/>
    </xf>
    <xf numFmtId="0" fontId="14" fillId="6" borderId="1" xfId="3" applyNumberFormat="1" applyFont="1" applyFill="1" applyBorder="1" applyAlignment="1" applyProtection="1">
      <alignment horizontal="center" vertical="center"/>
    </xf>
    <xf numFmtId="0" fontId="51" fillId="0" borderId="3" xfId="0" applyFont="1" applyBorder="1" applyAlignment="1">
      <alignment horizontal="center" vertical="center"/>
    </xf>
    <xf numFmtId="0" fontId="51" fillId="0" borderId="4" xfId="0" applyFont="1" applyBorder="1" applyAlignment="1">
      <alignment horizontal="center" vertical="center"/>
    </xf>
    <xf numFmtId="0" fontId="5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50" fillId="0" borderId="0" xfId="0" applyFont="1" applyFill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8" fillId="4" borderId="6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43" fontId="5" fillId="0" borderId="6" xfId="0" applyNumberFormat="1" applyFont="1" applyBorder="1" applyAlignment="1">
      <alignment horizontal="center" vertical="center" wrapText="1"/>
    </xf>
    <xf numFmtId="43" fontId="5" fillId="0" borderId="10" xfId="0" applyNumberFormat="1" applyFont="1" applyBorder="1" applyAlignment="1">
      <alignment horizontal="center" vertical="center" wrapText="1"/>
    </xf>
    <xf numFmtId="43" fontId="5" fillId="0" borderId="7" xfId="0" applyNumberFormat="1" applyFont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/>
    </xf>
    <xf numFmtId="0" fontId="0" fillId="0" borderId="6" xfId="0" applyFill="1" applyBorder="1" applyAlignment="1">
      <alignment horizontal="left" vertical="center"/>
    </xf>
    <xf numFmtId="0" fontId="0" fillId="0" borderId="7" xfId="0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10" fontId="0" fillId="2" borderId="2" xfId="0" applyNumberFormat="1" applyFill="1" applyBorder="1" applyAlignment="1">
      <alignment horizontal="center" vertical="center"/>
    </xf>
  </cellXfs>
  <cellStyles count="12">
    <cellStyle name="_x000a_mouse.drv=lm" xfId="3"/>
    <cellStyle name="BOM_Level_Below3" xfId="4"/>
    <cellStyle name="百分比" xfId="2" builtinId="5"/>
    <cellStyle name="常规" xfId="0" builtinId="0"/>
    <cellStyle name="常规 11 2" xfId="5"/>
    <cellStyle name="常规 2" xfId="6"/>
    <cellStyle name="常规_20061221C2项目损益分析（概念稿）" xfId="7"/>
    <cellStyle name="普通_销售收入.XLS" xfId="8"/>
    <cellStyle name="千位分隔" xfId="1" builtinId="3"/>
    <cellStyle name="千位分隔 2 25" xfId="9"/>
    <cellStyle name="样式 1" xfId="10"/>
    <cellStyle name="样式 1 3" xfId="1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3"/>
        <xdr:cNvSpPr>
          <a:spLocks noChangeShapeType="1"/>
        </xdr:cNvSpPr>
      </xdr:nvSpPr>
      <xdr:spPr>
        <a:xfrm>
          <a:off x="558800" y="400050"/>
          <a:ext cx="1990725" cy="41973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3" name="Line 14"/>
        <xdr:cNvSpPr>
          <a:spLocks noChangeShapeType="1"/>
        </xdr:cNvSpPr>
      </xdr:nvSpPr>
      <xdr:spPr>
        <a:xfrm>
          <a:off x="13421360" y="400050"/>
          <a:ext cx="0" cy="41973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4" name="Line 15"/>
        <xdr:cNvSpPr>
          <a:spLocks noChangeShapeType="1"/>
        </xdr:cNvSpPr>
      </xdr:nvSpPr>
      <xdr:spPr>
        <a:xfrm>
          <a:off x="13421360" y="400050"/>
          <a:ext cx="0" cy="41973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5" name="Line 16"/>
        <xdr:cNvSpPr>
          <a:spLocks noChangeShapeType="1"/>
        </xdr:cNvSpPr>
      </xdr:nvSpPr>
      <xdr:spPr>
        <a:xfrm>
          <a:off x="13421360" y="400050"/>
          <a:ext cx="0" cy="41973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6" name="Line 20"/>
        <xdr:cNvSpPr>
          <a:spLocks noChangeShapeType="1"/>
        </xdr:cNvSpPr>
      </xdr:nvSpPr>
      <xdr:spPr>
        <a:xfrm>
          <a:off x="12679045" y="400050"/>
          <a:ext cx="0" cy="41973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7" name="Line 21"/>
        <xdr:cNvSpPr>
          <a:spLocks noChangeShapeType="1"/>
        </xdr:cNvSpPr>
      </xdr:nvSpPr>
      <xdr:spPr>
        <a:xfrm>
          <a:off x="12679045" y="400050"/>
          <a:ext cx="0" cy="41973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8" name="Line 22"/>
        <xdr:cNvSpPr>
          <a:spLocks noChangeShapeType="1"/>
        </xdr:cNvSpPr>
      </xdr:nvSpPr>
      <xdr:spPr>
        <a:xfrm>
          <a:off x="12679045" y="400050"/>
          <a:ext cx="0" cy="41973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9" name="Line 23"/>
        <xdr:cNvSpPr>
          <a:spLocks noChangeShapeType="1"/>
        </xdr:cNvSpPr>
      </xdr:nvSpPr>
      <xdr:spPr>
        <a:xfrm>
          <a:off x="12679045" y="400050"/>
          <a:ext cx="0" cy="41973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0" name="Line 24"/>
        <xdr:cNvSpPr>
          <a:spLocks noChangeShapeType="1"/>
        </xdr:cNvSpPr>
      </xdr:nvSpPr>
      <xdr:spPr>
        <a:xfrm>
          <a:off x="12679045" y="454850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1" name="Line 25"/>
        <xdr:cNvSpPr>
          <a:spLocks noChangeShapeType="1"/>
        </xdr:cNvSpPr>
      </xdr:nvSpPr>
      <xdr:spPr>
        <a:xfrm>
          <a:off x="12679045" y="454850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2" name="Line 26"/>
        <xdr:cNvSpPr>
          <a:spLocks noChangeShapeType="1"/>
        </xdr:cNvSpPr>
      </xdr:nvSpPr>
      <xdr:spPr>
        <a:xfrm>
          <a:off x="12679045" y="454850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3" name="Line 27"/>
        <xdr:cNvSpPr>
          <a:spLocks noChangeShapeType="1"/>
        </xdr:cNvSpPr>
      </xdr:nvSpPr>
      <xdr:spPr>
        <a:xfrm>
          <a:off x="12679045" y="454850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4" name="Line 40"/>
        <xdr:cNvSpPr>
          <a:spLocks noChangeShapeType="1"/>
        </xdr:cNvSpPr>
      </xdr:nvSpPr>
      <xdr:spPr>
        <a:xfrm>
          <a:off x="12679045" y="454850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5" name="Line 41"/>
        <xdr:cNvSpPr>
          <a:spLocks noChangeShapeType="1"/>
        </xdr:cNvSpPr>
      </xdr:nvSpPr>
      <xdr:spPr>
        <a:xfrm>
          <a:off x="12679045" y="454850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6" name="Line 42"/>
        <xdr:cNvSpPr>
          <a:spLocks noChangeShapeType="1"/>
        </xdr:cNvSpPr>
      </xdr:nvSpPr>
      <xdr:spPr>
        <a:xfrm>
          <a:off x="12679045" y="454850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7" name="Line 43"/>
        <xdr:cNvSpPr>
          <a:spLocks noChangeShapeType="1"/>
        </xdr:cNvSpPr>
      </xdr:nvSpPr>
      <xdr:spPr>
        <a:xfrm>
          <a:off x="12679045" y="454850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8" name="Line 54"/>
        <xdr:cNvSpPr>
          <a:spLocks noChangeShapeType="1"/>
        </xdr:cNvSpPr>
      </xdr:nvSpPr>
      <xdr:spPr>
        <a:xfrm>
          <a:off x="12679045" y="454850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9" name="Line 55"/>
        <xdr:cNvSpPr>
          <a:spLocks noChangeShapeType="1"/>
        </xdr:cNvSpPr>
      </xdr:nvSpPr>
      <xdr:spPr>
        <a:xfrm>
          <a:off x="12679045" y="454850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0" name="Line 56"/>
        <xdr:cNvSpPr>
          <a:spLocks noChangeShapeType="1"/>
        </xdr:cNvSpPr>
      </xdr:nvSpPr>
      <xdr:spPr>
        <a:xfrm>
          <a:off x="12679045" y="454850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1" name="Line 57"/>
        <xdr:cNvSpPr>
          <a:spLocks noChangeShapeType="1"/>
        </xdr:cNvSpPr>
      </xdr:nvSpPr>
      <xdr:spPr>
        <a:xfrm>
          <a:off x="12679045" y="454850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2" name="Line 58"/>
        <xdr:cNvSpPr>
          <a:spLocks noChangeShapeType="1"/>
        </xdr:cNvSpPr>
      </xdr:nvSpPr>
      <xdr:spPr>
        <a:xfrm>
          <a:off x="12679045" y="454850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3" name="Line 59"/>
        <xdr:cNvSpPr>
          <a:spLocks noChangeShapeType="1"/>
        </xdr:cNvSpPr>
      </xdr:nvSpPr>
      <xdr:spPr>
        <a:xfrm>
          <a:off x="12679045" y="454850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4" name="Line 60"/>
        <xdr:cNvSpPr>
          <a:spLocks noChangeShapeType="1"/>
        </xdr:cNvSpPr>
      </xdr:nvSpPr>
      <xdr:spPr>
        <a:xfrm>
          <a:off x="12679045" y="454850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5" name="Line 61"/>
        <xdr:cNvSpPr>
          <a:spLocks noChangeShapeType="1"/>
        </xdr:cNvSpPr>
      </xdr:nvSpPr>
      <xdr:spPr>
        <a:xfrm>
          <a:off x="12679045" y="454850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26" name="Line 62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27" name="Line 63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28" name="Line 74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29" name="Line 75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30" name="Line 76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31" name="Line 77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32" name="Line 78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33" name="Line 79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34" name="Line 80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35" name="Line 81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36" name="Line 82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37" name="Line 83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38" name="Line 84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39" name="Line 85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40" name="Line 86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41" name="Line 87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42" name="Line 88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43" name="Line 89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44" name="Line 90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45" name="Line 91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46" name="Line 92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47" name="Line 93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48" name="Line 94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49" name="Line 95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50" name="Line 96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51" name="Line 97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52" name="Line 98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53" name="Line 99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54" name="Line 100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55" name="Line 101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56" name="Line 102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57" name="Line 103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58" name="Line 104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59" name="Line 105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60" name="Line 106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61" name="Line 107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62" name="Line 108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63" name="Line 109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64" name="Line 110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65" name="Line 111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66" name="Line 112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67" name="Line 113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68" name="Line 114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69" name="Line 115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70" name="Line 116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71" name="Line 117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72" name="Line 118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73" name="Line 119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74" name="Line 120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75" name="Line 121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76" name="Line 122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77" name="Line 123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78" name="Line 124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79" name="Line 125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80" name="Line 126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81" name="Line 127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82" name="Line 128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83" name="Line 129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84" name="Line 130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85" name="Line 131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86" name="Line 132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87" name="Line 133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88" name="Line 134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89" name="Line 135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90" name="Line 136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91" name="Line 176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92" name="Line 177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93" name="Line 178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94" name="Line 179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95" name="Line 180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96" name="Line 181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97" name="Line 182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98" name="Line 183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99" name="Line 184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00" name="Line 185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01" name="Line 186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02" name="Line 187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03" name="Line 188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04" name="Line 189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05" name="Line 190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06" name="Line 191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07" name="Line 192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08" name="Line 193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09" name="Line 194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10" name="Line 195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11" name="Line 198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12" name="Line 199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13" name="Line 200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14" name="Line 201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15" name="Line 202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16" name="Line 203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17" name="Line 204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18" name="Line 205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19" name="Line 206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20" name="Line 207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21" name="Line 208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22" name="Line 209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23" name="Line 210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24" name="Line 211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25" name="Line 212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26" name="Line 213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27" name="Line 214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28" name="Line 215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29" name="Line 216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30" name="Line 217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31" name="Line 219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32" name="Line 220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33" name="Line 221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34" name="Line 222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35" name="Line 223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36" name="Line 224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37" name="Line 225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38" name="Line 226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39" name="Line 227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40" name="Line 228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41" name="Line 229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42" name="Line 230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43" name="Line 231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44" name="Line 232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45" name="Line 233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46" name="Line 234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47" name="Line 235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48" name="Line 236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49" name="Line 237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50" name="Line 238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51" name="Line 239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52" name="Line 240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53" name="Line 241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54" name="Line 242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55" name="Line 243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56" name="Line 244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57" name="Line 245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58" name="Line 246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59" name="Line 247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60" name="Line 248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61" name="Line 249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62" name="Line 250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63" name="Line 251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64" name="Line 252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65" name="Line 253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66" name="Line 254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67" name="Line 255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68" name="Line 256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69" name="Line 257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70" name="Line 258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71" name="Line 259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72" name="Line 260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73" name="Line 261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74" name="Line 262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75" name="Line 263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76" name="Line 264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77" name="Line 265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78" name="Line 266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79" name="Line 267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80" name="Line 268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81" name="Line 269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82" name="Line 270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83" name="Line 271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84" name="Line 272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85" name="Line 273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86" name="Line 274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87" name="Line 275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88" name="Line 276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89" name="Line 277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90" name="Line 278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91" name="Line 279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92" name="Line 280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93" name="Line 281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94" name="Line 282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95" name="Line 283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96" name="Line 284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97" name="Line 285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98" name="Line 286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199" name="Line 287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200" name="Line 288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201" name="Line 289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202" name="Line 290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203" name="Line 291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204" name="Line 292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205" name="Line 293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206" name="Line 294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207" name="Line 295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208" name="Line 296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209" name="Line 297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210" name="Line 298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211" name="Line 299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7620</xdr:colOff>
      <xdr:row>24</xdr:row>
      <xdr:rowOff>0</xdr:rowOff>
    </xdr:from>
    <xdr:to>
      <xdr:col>2</xdr:col>
      <xdr:colOff>7620</xdr:colOff>
      <xdr:row>24</xdr:row>
      <xdr:rowOff>0</xdr:rowOff>
    </xdr:to>
    <xdr:sp macro="" textlink="">
      <xdr:nvSpPr>
        <xdr:cNvPr id="212" name="Line 300"/>
        <xdr:cNvSpPr>
          <a:spLocks noChangeShapeType="1"/>
        </xdr:cNvSpPr>
      </xdr:nvSpPr>
      <xdr:spPr>
        <a:xfrm>
          <a:off x="56642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13" name="Line 301"/>
        <xdr:cNvSpPr>
          <a:spLocks noChangeShapeType="1"/>
        </xdr:cNvSpPr>
      </xdr:nvSpPr>
      <xdr:spPr>
        <a:xfrm>
          <a:off x="55880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14" name="Line 302"/>
        <xdr:cNvSpPr>
          <a:spLocks noChangeShapeType="1"/>
        </xdr:cNvSpPr>
      </xdr:nvSpPr>
      <xdr:spPr>
        <a:xfrm>
          <a:off x="558800" y="4548505"/>
          <a:ext cx="1990725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de/Desktop/&#24037;&#20316;&#34920;%20&#22312;%20F%20%20&#21442;&#32771;&#36164;&#26009;%20&#25104;&#26412;&#20215;&#26684;&#31185;&#65288;&#39759;&#20029;&#23068;&#65289;%20&#25104;&#26412;&#20215;&#26684;&#31185;&#21046;&#24230;&#27719;&#24635;%20FTOP.10008.48.1-2010%20&#39033;&#30446;&#25237;&#36164;&#32463;&#27982;&#21487;&#34892;&#24615;&#21450;&#39118;&#38505;&#20998;&#26512;&#31649;&#29702;&#21150;&#27861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1487;&#34892;&#24615;&#20998;&#26512;/&#36731;&#21345;/&#19968;&#27773;&#39046;&#36884;&#36731;&#21345;&#24231;&#26885;&#39033;&#30446;&#25237;&#36164;&#25910;&#30410;&#20998;&#26512;2022.11.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投资"/>
      <sheetName val="损益表"/>
      <sheetName val="现金"/>
      <sheetName val="销量"/>
      <sheetName val="材料"/>
      <sheetName val="价格"/>
      <sheetName val="工资"/>
      <sheetName val="计划"/>
      <sheetName val="流动"/>
      <sheetName val="折、摊"/>
      <sheetName val="总成本"/>
      <sheetName val="利润"/>
      <sheetName val="借"/>
      <sheetName val="来源"/>
      <sheetName val="负债"/>
      <sheetName val="人工"/>
      <sheetName val="燃动"/>
      <sheetName val="制造费"/>
      <sheetName val="技术费"/>
      <sheetName val="管理费"/>
      <sheetName val="销售费"/>
    </sheetNames>
    <sheetDataSet>
      <sheetData sheetId="0"/>
      <sheetData sheetId="1"/>
      <sheetData sheetId="2"/>
      <sheetData sheetId="3"/>
      <sheetData sheetId="4"/>
      <sheetData sheetId="5"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</sheetData>
      <sheetData sheetId="6"/>
      <sheetData sheetId="7"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</sheetData>
      <sheetData sheetId="8"/>
      <sheetData sheetId="9">
        <row r="18"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</sheetData>
      <sheetData sheetId="10"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</sheetData>
      <sheetData sheetId="11"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假设条件"/>
      <sheetName val="损益表"/>
      <sheetName val="现金"/>
      <sheetName val="2023年"/>
      <sheetName val="2024年"/>
      <sheetName val="2025年"/>
      <sheetName val="2026年"/>
      <sheetName val="2027年"/>
      <sheetName val="项目投资"/>
      <sheetName val="销量"/>
      <sheetName val="材料成本"/>
      <sheetName val="其他"/>
      <sheetName val="标准成本"/>
    </sheetNames>
    <sheetDataSet>
      <sheetData sheetId="0"/>
      <sheetData sheetId="1"/>
      <sheetData sheetId="2"/>
      <sheetData sheetId="3">
        <row r="18">
          <cell r="I18">
            <v>0</v>
          </cell>
        </row>
      </sheetData>
      <sheetData sheetId="4"/>
      <sheetData sheetId="5"/>
      <sheetData sheetId="6"/>
      <sheetData sheetId="7"/>
      <sheetData sheetId="8">
        <row r="26">
          <cell r="G26">
            <v>0</v>
          </cell>
        </row>
      </sheetData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zoomScale="80" zoomScaleNormal="80" workbookViewId="0">
      <selection activeCell="C15" sqref="C15"/>
    </sheetView>
  </sheetViews>
  <sheetFormatPr defaultColWidth="9" defaultRowHeight="13.5"/>
  <cols>
    <col min="1" max="1" width="8.875" customWidth="1"/>
    <col min="2" max="2" width="16.375" customWidth="1"/>
    <col min="3" max="3" width="89.75" customWidth="1"/>
  </cols>
  <sheetData>
    <row r="2" spans="1:4" s="159" customFormat="1" ht="35.25" customHeight="1">
      <c r="A2" s="160" t="s">
        <v>0</v>
      </c>
      <c r="B2" s="160" t="s">
        <v>1</v>
      </c>
      <c r="C2" s="160" t="s">
        <v>2</v>
      </c>
      <c r="D2" s="161"/>
    </row>
    <row r="3" spans="1:4" s="159" customFormat="1" ht="33.75" customHeight="1">
      <c r="A3" s="162">
        <v>1</v>
      </c>
      <c r="B3" s="162" t="s">
        <v>3</v>
      </c>
      <c r="C3" s="163" t="s">
        <v>4</v>
      </c>
      <c r="D3" s="161"/>
    </row>
    <row r="4" spans="1:4" s="159" customFormat="1" ht="33.75" customHeight="1">
      <c r="A4" s="162">
        <v>2</v>
      </c>
      <c r="B4" s="162" t="s">
        <v>5</v>
      </c>
      <c r="C4" s="163" t="s">
        <v>6</v>
      </c>
    </row>
    <row r="5" spans="1:4" s="159" customFormat="1" ht="33.75" customHeight="1">
      <c r="A5" s="162">
        <v>3</v>
      </c>
      <c r="B5" s="235" t="s">
        <v>7</v>
      </c>
      <c r="C5" s="164" t="s">
        <v>8</v>
      </c>
    </row>
    <row r="6" spans="1:4" s="159" customFormat="1" ht="33.75" customHeight="1">
      <c r="A6" s="162">
        <v>4</v>
      </c>
      <c r="B6" s="236"/>
      <c r="C6" s="163" t="s">
        <v>299</v>
      </c>
    </row>
    <row r="7" spans="1:4" s="159" customFormat="1" ht="33.75" customHeight="1">
      <c r="A7" s="162">
        <v>5</v>
      </c>
      <c r="B7" s="165" t="s">
        <v>9</v>
      </c>
      <c r="C7" s="163" t="s">
        <v>298</v>
      </c>
    </row>
    <row r="8" spans="1:4" s="159" customFormat="1" ht="33.75" customHeight="1">
      <c r="A8" s="162">
        <v>6</v>
      </c>
      <c r="B8" s="235" t="s">
        <v>10</v>
      </c>
      <c r="C8" s="163" t="s">
        <v>11</v>
      </c>
    </row>
    <row r="9" spans="1:4" s="159" customFormat="1" ht="33.75" customHeight="1">
      <c r="A9" s="162">
        <v>7</v>
      </c>
      <c r="B9" s="236"/>
      <c r="C9" s="163" t="s">
        <v>12</v>
      </c>
    </row>
    <row r="10" spans="1:4" s="159" customFormat="1" ht="33.75" customHeight="1">
      <c r="A10" s="162">
        <v>8</v>
      </c>
      <c r="B10" s="236"/>
      <c r="C10" s="164" t="s">
        <v>266</v>
      </c>
    </row>
    <row r="11" spans="1:4" s="159" customFormat="1" ht="33.75" customHeight="1">
      <c r="A11" s="162">
        <v>9</v>
      </c>
      <c r="B11" s="236"/>
      <c r="C11" s="163" t="s">
        <v>13</v>
      </c>
    </row>
    <row r="12" spans="1:4" s="159" customFormat="1" ht="33.75" customHeight="1">
      <c r="A12" s="162">
        <v>10</v>
      </c>
      <c r="B12" s="165" t="s">
        <v>14</v>
      </c>
      <c r="C12" s="163" t="s">
        <v>15</v>
      </c>
    </row>
    <row r="13" spans="1:4" ht="33.75" customHeight="1"/>
    <row r="14" spans="1:4" ht="33.75" customHeight="1"/>
    <row r="15" spans="1:4" ht="33.75" customHeight="1">
      <c r="C15" s="166"/>
    </row>
  </sheetData>
  <mergeCells count="2">
    <mergeCell ref="B5:B6"/>
    <mergeCell ref="B8:B11"/>
  </mergeCells>
  <phoneticPr fontId="45" type="noConversion"/>
  <pageMargins left="0.7" right="0.7" top="0.75" bottom="0.75" header="0.3" footer="0.3"/>
  <pageSetup paperSize="9" scale="75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0"/>
  <sheetViews>
    <sheetView zoomScale="85" zoomScaleNormal="85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D8" sqref="D8"/>
    </sheetView>
  </sheetViews>
  <sheetFormatPr defaultColWidth="9" defaultRowHeight="16.5"/>
  <cols>
    <col min="1" max="1" width="14" style="177" customWidth="1"/>
    <col min="2" max="2" width="14.125" style="177" customWidth="1"/>
    <col min="3" max="9" width="14.25" style="177" customWidth="1"/>
    <col min="10" max="16" width="14.25" style="177" hidden="1" customWidth="1"/>
    <col min="17" max="18" width="14.25" style="177" customWidth="1"/>
    <col min="19" max="19" width="13.875" style="177" customWidth="1"/>
    <col min="20" max="20" width="9.25" style="177" customWidth="1"/>
    <col min="21" max="21" width="9.125" style="178" customWidth="1"/>
    <col min="22" max="22" width="9.625" style="178" customWidth="1"/>
    <col min="23" max="16384" width="9" style="177"/>
  </cols>
  <sheetData>
    <row r="1" spans="1:22" ht="29.25" customHeight="1">
      <c r="A1" s="263" t="s">
        <v>187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3"/>
      <c r="R1" s="263"/>
      <c r="S1" s="263"/>
    </row>
    <row r="2" spans="1:22" ht="24" customHeight="1">
      <c r="A2" s="41" t="s">
        <v>188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</row>
    <row r="3" spans="1:22">
      <c r="C3" s="177" t="s">
        <v>189</v>
      </c>
      <c r="D3" s="176" t="s">
        <v>190</v>
      </c>
      <c r="E3" s="180">
        <v>0</v>
      </c>
    </row>
    <row r="5" spans="1:22" s="201" customFormat="1" ht="45" customHeight="1">
      <c r="A5" s="265" t="s">
        <v>191</v>
      </c>
      <c r="B5" s="42" t="s">
        <v>141</v>
      </c>
      <c r="C5" s="226" t="s">
        <v>302</v>
      </c>
      <c r="D5" s="226" t="s">
        <v>303</v>
      </c>
      <c r="E5" s="215"/>
      <c r="F5" s="215"/>
      <c r="G5" s="206"/>
      <c r="H5" s="206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269" t="s">
        <v>49</v>
      </c>
      <c r="U5" s="202"/>
      <c r="V5" s="202"/>
    </row>
    <row r="6" spans="1:22" ht="31.5" customHeight="1">
      <c r="A6" s="265"/>
      <c r="B6" s="210" t="s">
        <v>142</v>
      </c>
      <c r="C6" s="227" t="s">
        <v>282</v>
      </c>
      <c r="D6" s="227" t="s">
        <v>282</v>
      </c>
      <c r="E6" s="216"/>
      <c r="F6" s="216"/>
      <c r="G6" s="212"/>
      <c r="H6" s="207"/>
      <c r="I6" s="192"/>
      <c r="J6" s="192"/>
      <c r="K6" s="192"/>
      <c r="L6" s="192"/>
      <c r="M6" s="192"/>
      <c r="N6" s="192"/>
      <c r="O6" s="192"/>
      <c r="P6" s="192"/>
      <c r="Q6" s="192"/>
      <c r="R6" s="192"/>
      <c r="S6" s="270"/>
      <c r="U6" s="178">
        <v>100</v>
      </c>
    </row>
    <row r="7" spans="1:22" ht="32.25" customHeight="1">
      <c r="A7" s="265"/>
      <c r="B7" s="211" t="s">
        <v>192</v>
      </c>
      <c r="C7" s="227" t="s">
        <v>304</v>
      </c>
      <c r="D7" s="227" t="s">
        <v>304</v>
      </c>
      <c r="E7" s="228" t="s">
        <v>283</v>
      </c>
      <c r="F7" s="217"/>
      <c r="G7" s="213"/>
      <c r="H7" s="208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271"/>
      <c r="T7" s="177">
        <v>2026</v>
      </c>
      <c r="U7" s="178">
        <f>U6*(1-$E$3)</f>
        <v>100</v>
      </c>
      <c r="V7" s="178">
        <f>U7/$U$6</f>
        <v>1</v>
      </c>
    </row>
    <row r="8" spans="1:22" ht="33">
      <c r="A8" s="265"/>
      <c r="B8" s="15" t="s">
        <v>193</v>
      </c>
      <c r="C8" s="230">
        <f>材料成本!D24/0.7</f>
        <v>314.25570085252076</v>
      </c>
      <c r="D8" s="230">
        <f>材料成本!E24/0.7</f>
        <v>274.16193870801516</v>
      </c>
      <c r="E8" s="15"/>
      <c r="F8" s="15"/>
      <c r="G8" s="209"/>
      <c r="H8" s="20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81">
        <f>SUM(C8:R8)</f>
        <v>588.41763956053592</v>
      </c>
      <c r="T8" s="177">
        <v>2027</v>
      </c>
      <c r="U8" s="178">
        <f>U7*(1-$E$3)</f>
        <v>100</v>
      </c>
      <c r="V8" s="178">
        <f>U8/$U$6</f>
        <v>1</v>
      </c>
    </row>
    <row r="9" spans="1:22" ht="17.25">
      <c r="A9" s="266" t="s">
        <v>194</v>
      </c>
      <c r="B9" s="182" t="s">
        <v>286</v>
      </c>
      <c r="C9" s="229">
        <v>20000</v>
      </c>
      <c r="D9" s="229">
        <v>20000</v>
      </c>
      <c r="E9" s="214"/>
      <c r="F9" s="214"/>
      <c r="G9" s="205"/>
      <c r="H9" s="205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181">
        <f>SUM(C9:R9)</f>
        <v>40000</v>
      </c>
      <c r="T9" s="177">
        <v>2028</v>
      </c>
      <c r="U9" s="178">
        <f>U8*(1-E3)</f>
        <v>100</v>
      </c>
      <c r="V9" s="178">
        <f>U9/$U$6</f>
        <v>1</v>
      </c>
    </row>
    <row r="10" spans="1:22" ht="17.25">
      <c r="A10" s="267"/>
      <c r="B10" s="225" t="s">
        <v>48</v>
      </c>
      <c r="C10" s="229">
        <v>20000</v>
      </c>
      <c r="D10" s="229">
        <v>20000</v>
      </c>
      <c r="E10" s="214"/>
      <c r="F10" s="214"/>
      <c r="G10" s="205"/>
      <c r="H10" s="205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181">
        <f t="shared" ref="S10:S15" si="0">SUM(C10:R10)</f>
        <v>40000</v>
      </c>
      <c r="T10" s="177">
        <v>2029</v>
      </c>
      <c r="U10" s="178">
        <f>U9*(1-$E$3)</f>
        <v>100</v>
      </c>
      <c r="V10" s="178">
        <f>U10/$U$6</f>
        <v>1</v>
      </c>
    </row>
    <row r="11" spans="1:22" ht="17.25">
      <c r="A11" s="267"/>
      <c r="B11" s="225" t="s">
        <v>182</v>
      </c>
      <c r="C11" s="229">
        <v>20000</v>
      </c>
      <c r="D11" s="229">
        <v>20000</v>
      </c>
      <c r="E11" s="214"/>
      <c r="F11" s="214"/>
      <c r="G11" s="205"/>
      <c r="H11" s="205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181">
        <f t="shared" si="0"/>
        <v>40000</v>
      </c>
      <c r="T11" s="177">
        <v>2030</v>
      </c>
      <c r="U11" s="178">
        <f>U10*(1-$E$3)</f>
        <v>100</v>
      </c>
      <c r="V11" s="178">
        <f t="shared" ref="V11:V12" si="1">U11/$U$6</f>
        <v>1</v>
      </c>
    </row>
    <row r="12" spans="1:22" ht="17.25">
      <c r="A12" s="267"/>
      <c r="B12" s="225" t="s">
        <v>183</v>
      </c>
      <c r="C12" s="229">
        <v>20000</v>
      </c>
      <c r="D12" s="229">
        <v>20000</v>
      </c>
      <c r="E12" s="214"/>
      <c r="F12" s="214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1">
        <f t="shared" si="0"/>
        <v>40000</v>
      </c>
      <c r="T12" s="177">
        <v>2031</v>
      </c>
      <c r="U12" s="178">
        <f>U11*(1-$E$3)</f>
        <v>100</v>
      </c>
      <c r="V12" s="178">
        <f t="shared" si="1"/>
        <v>1</v>
      </c>
    </row>
    <row r="13" spans="1:22" ht="17.25">
      <c r="A13" s="267"/>
      <c r="B13" s="225" t="s">
        <v>184</v>
      </c>
      <c r="C13" s="229">
        <v>20000</v>
      </c>
      <c r="D13" s="229">
        <v>20000</v>
      </c>
      <c r="E13" s="214"/>
      <c r="F13" s="214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1">
        <f t="shared" si="0"/>
        <v>40000</v>
      </c>
    </row>
    <row r="14" spans="1:22" ht="17.25">
      <c r="A14" s="267"/>
      <c r="B14" s="225" t="s">
        <v>254</v>
      </c>
      <c r="C14" s="184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84"/>
      <c r="O14" s="184"/>
      <c r="P14" s="184"/>
      <c r="Q14" s="184"/>
      <c r="R14" s="184"/>
      <c r="S14" s="181">
        <f t="shared" si="0"/>
        <v>0</v>
      </c>
    </row>
    <row r="15" spans="1:22" ht="17.25">
      <c r="A15" s="268"/>
      <c r="B15" s="225" t="s">
        <v>285</v>
      </c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1">
        <f t="shared" si="0"/>
        <v>0</v>
      </c>
    </row>
    <row r="16" spans="1:22" ht="24" customHeight="1">
      <c r="A16" s="264" t="s">
        <v>49</v>
      </c>
      <c r="B16" s="264"/>
      <c r="C16" s="185">
        <f t="shared" ref="C16:S16" si="2">SUM(C9:C15)</f>
        <v>100000</v>
      </c>
      <c r="D16" s="185">
        <f t="shared" si="2"/>
        <v>100000</v>
      </c>
      <c r="E16" s="185">
        <f t="shared" si="2"/>
        <v>0</v>
      </c>
      <c r="F16" s="185">
        <f t="shared" si="2"/>
        <v>0</v>
      </c>
      <c r="G16" s="185">
        <f t="shared" ref="G16:R16" si="3">SUM(G9:G15)</f>
        <v>0</v>
      </c>
      <c r="H16" s="185">
        <f t="shared" si="3"/>
        <v>0</v>
      </c>
      <c r="I16" s="185">
        <f t="shared" si="3"/>
        <v>0</v>
      </c>
      <c r="J16" s="185">
        <f t="shared" si="3"/>
        <v>0</v>
      </c>
      <c r="K16" s="185">
        <f t="shared" si="3"/>
        <v>0</v>
      </c>
      <c r="L16" s="185">
        <f t="shared" si="3"/>
        <v>0</v>
      </c>
      <c r="M16" s="185">
        <f t="shared" si="3"/>
        <v>0</v>
      </c>
      <c r="N16" s="185">
        <f t="shared" si="3"/>
        <v>0</v>
      </c>
      <c r="O16" s="185">
        <f t="shared" si="3"/>
        <v>0</v>
      </c>
      <c r="P16" s="185">
        <f t="shared" si="3"/>
        <v>0</v>
      </c>
      <c r="Q16" s="185">
        <f t="shared" si="3"/>
        <v>0</v>
      </c>
      <c r="R16" s="185">
        <f t="shared" si="3"/>
        <v>0</v>
      </c>
      <c r="S16" s="185">
        <f t="shared" si="2"/>
        <v>200000</v>
      </c>
    </row>
    <row r="17" spans="1:19" ht="18">
      <c r="A17" s="186"/>
      <c r="B17" s="186"/>
      <c r="C17" s="43"/>
    </row>
    <row r="18" spans="1:19" ht="24.75" customHeight="1">
      <c r="A18" s="177" t="s">
        <v>275</v>
      </c>
      <c r="B18" s="187" t="s">
        <v>195</v>
      </c>
      <c r="C18" s="188">
        <f>材料成本!D24</f>
        <v>219.97899059676453</v>
      </c>
      <c r="D18" s="188">
        <f>材料成本!E24</f>
        <v>191.91335709561059</v>
      </c>
      <c r="E18" s="188">
        <f>材料成本!F24</f>
        <v>0</v>
      </c>
      <c r="F18" s="188">
        <f>材料成本!G24</f>
        <v>0</v>
      </c>
      <c r="G18" s="188">
        <f>材料成本!H24</f>
        <v>0</v>
      </c>
      <c r="H18" s="188">
        <f>材料成本!I24</f>
        <v>0</v>
      </c>
      <c r="I18" s="188">
        <f>材料成本!J24</f>
        <v>0</v>
      </c>
      <c r="J18" s="188">
        <f>材料成本!K24</f>
        <v>0</v>
      </c>
      <c r="K18" s="188">
        <f>材料成本!L24</f>
        <v>0</v>
      </c>
      <c r="L18" s="188">
        <f>材料成本!M24</f>
        <v>0</v>
      </c>
      <c r="M18" s="188">
        <f>材料成本!N24</f>
        <v>0</v>
      </c>
      <c r="N18" s="188">
        <f>材料成本!O24</f>
        <v>0</v>
      </c>
      <c r="O18" s="188">
        <f>材料成本!P24</f>
        <v>0</v>
      </c>
      <c r="P18" s="188">
        <f>材料成本!Q24</f>
        <v>0</v>
      </c>
      <c r="Q18" s="188">
        <f>材料成本!R24</f>
        <v>0</v>
      </c>
      <c r="R18" s="188">
        <f>材料成本!S24</f>
        <v>0</v>
      </c>
      <c r="S18" s="189">
        <f>SUM(C18:R18)</f>
        <v>411.8923476923751</v>
      </c>
    </row>
    <row r="19" spans="1:19" ht="24.75" customHeight="1">
      <c r="B19" s="187" t="s">
        <v>96</v>
      </c>
      <c r="C19" s="188">
        <f>C8-C18</f>
        <v>94.276710255756228</v>
      </c>
      <c r="D19" s="188">
        <f>D8-D18</f>
        <v>82.248581612404564</v>
      </c>
      <c r="E19" s="188">
        <f>E8-E18</f>
        <v>0</v>
      </c>
      <c r="F19" s="188">
        <f>F8-F18</f>
        <v>0</v>
      </c>
      <c r="G19" s="188">
        <f t="shared" ref="G19:R19" si="4">G8-G18</f>
        <v>0</v>
      </c>
      <c r="H19" s="188">
        <f t="shared" si="4"/>
        <v>0</v>
      </c>
      <c r="I19" s="188">
        <f t="shared" si="4"/>
        <v>0</v>
      </c>
      <c r="J19" s="188">
        <f t="shared" si="4"/>
        <v>0</v>
      </c>
      <c r="K19" s="188">
        <f t="shared" si="4"/>
        <v>0</v>
      </c>
      <c r="L19" s="188">
        <f t="shared" si="4"/>
        <v>0</v>
      </c>
      <c r="M19" s="188">
        <f t="shared" si="4"/>
        <v>0</v>
      </c>
      <c r="N19" s="188">
        <f t="shared" si="4"/>
        <v>0</v>
      </c>
      <c r="O19" s="188">
        <f t="shared" si="4"/>
        <v>0</v>
      </c>
      <c r="P19" s="188">
        <f t="shared" si="4"/>
        <v>0</v>
      </c>
      <c r="Q19" s="188">
        <f t="shared" si="4"/>
        <v>0</v>
      </c>
      <c r="R19" s="188">
        <f t="shared" si="4"/>
        <v>0</v>
      </c>
      <c r="S19" s="189">
        <f>SUM(C19:R19)</f>
        <v>176.52529186816079</v>
      </c>
    </row>
    <row r="20" spans="1:19" ht="24.75" customHeight="1">
      <c r="B20" s="187" t="s">
        <v>196</v>
      </c>
      <c r="C20" s="190">
        <f t="shared" ref="C20:S20" si="5">C19/C8</f>
        <v>0.3</v>
      </c>
      <c r="D20" s="190">
        <f t="shared" si="5"/>
        <v>0.30000000000000004</v>
      </c>
      <c r="E20" s="190" t="e">
        <f t="shared" si="5"/>
        <v>#DIV/0!</v>
      </c>
      <c r="F20" s="190" t="e">
        <f t="shared" si="5"/>
        <v>#DIV/0!</v>
      </c>
      <c r="G20" s="190" t="e">
        <f t="shared" ref="G20:R20" si="6">G19/G8</f>
        <v>#DIV/0!</v>
      </c>
      <c r="H20" s="190" t="e">
        <f t="shared" si="6"/>
        <v>#DIV/0!</v>
      </c>
      <c r="I20" s="190" t="e">
        <f t="shared" si="6"/>
        <v>#DIV/0!</v>
      </c>
      <c r="J20" s="190" t="e">
        <f t="shared" si="6"/>
        <v>#DIV/0!</v>
      </c>
      <c r="K20" s="190" t="e">
        <f t="shared" si="6"/>
        <v>#DIV/0!</v>
      </c>
      <c r="L20" s="190" t="e">
        <f t="shared" si="6"/>
        <v>#DIV/0!</v>
      </c>
      <c r="M20" s="190" t="e">
        <f t="shared" si="6"/>
        <v>#DIV/0!</v>
      </c>
      <c r="N20" s="190" t="e">
        <f t="shared" si="6"/>
        <v>#DIV/0!</v>
      </c>
      <c r="O20" s="190" t="e">
        <f t="shared" si="6"/>
        <v>#DIV/0!</v>
      </c>
      <c r="P20" s="190" t="e">
        <f t="shared" si="6"/>
        <v>#DIV/0!</v>
      </c>
      <c r="Q20" s="190" t="e">
        <f t="shared" si="6"/>
        <v>#DIV/0!</v>
      </c>
      <c r="R20" s="190" t="e">
        <f t="shared" si="6"/>
        <v>#DIV/0!</v>
      </c>
      <c r="S20" s="190">
        <f t="shared" si="5"/>
        <v>0.30000000000000004</v>
      </c>
    </row>
  </sheetData>
  <mergeCells count="5">
    <mergeCell ref="A1:S1"/>
    <mergeCell ref="A16:B16"/>
    <mergeCell ref="A5:A8"/>
    <mergeCell ref="A9:A15"/>
    <mergeCell ref="S5:S7"/>
  </mergeCells>
  <phoneticPr fontId="45" type="noConversion"/>
  <printOptions horizontalCentered="1"/>
  <pageMargins left="0.118110236220472" right="0.118110236220472" top="0.35433070866141703" bottom="0.35433070866141703" header="0.31496062992126" footer="0.31496062992126"/>
  <pageSetup paperSize="9" scale="71" orientation="landscape"/>
  <ignoredErrors>
    <ignoredError sqref="U9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31"/>
  <sheetViews>
    <sheetView workbookViewId="0">
      <pane xSplit="3" ySplit="5" topLeftCell="D15" activePane="bottomRight" state="frozen"/>
      <selection pane="topRight"/>
      <selection pane="bottomLeft"/>
      <selection pane="bottomRight" activeCell="E23" sqref="E23"/>
    </sheetView>
  </sheetViews>
  <sheetFormatPr defaultColWidth="9" defaultRowHeight="16.5"/>
  <cols>
    <col min="1" max="2" width="4.375" style="24" customWidth="1"/>
    <col min="3" max="3" width="10" style="24" customWidth="1"/>
    <col min="4" max="20" width="12" style="25" customWidth="1"/>
    <col min="21" max="21" width="12.25" style="24" customWidth="1"/>
    <col min="22" max="22" width="13.25" style="24" customWidth="1"/>
    <col min="23" max="23" width="16" style="24" customWidth="1"/>
    <col min="24" max="16384" width="9" style="24"/>
  </cols>
  <sheetData>
    <row r="1" spans="1:23" s="23" customFormat="1" ht="28.5" customHeight="1">
      <c r="A1" s="278" t="s">
        <v>7</v>
      </c>
      <c r="B1" s="278"/>
      <c r="C1" s="26"/>
      <c r="D1" s="27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W1" s="38"/>
    </row>
    <row r="2" spans="1:23" ht="29.25" customHeight="1">
      <c r="A2" s="289" t="s">
        <v>197</v>
      </c>
      <c r="B2" s="289"/>
      <c r="C2" s="289"/>
      <c r="D2" s="289"/>
      <c r="E2" s="289"/>
      <c r="F2" s="286" t="s">
        <v>308</v>
      </c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8"/>
    </row>
    <row r="3" spans="1:23" ht="22.5" customHeight="1">
      <c r="A3" s="277" t="s">
        <v>18</v>
      </c>
      <c r="B3" s="277" t="s">
        <v>198</v>
      </c>
      <c r="C3" s="30" t="s">
        <v>199</v>
      </c>
      <c r="D3" s="279" t="s">
        <v>301</v>
      </c>
      <c r="E3" s="279"/>
      <c r="F3" s="29" t="s">
        <v>200</v>
      </c>
      <c r="G3" s="280" t="s">
        <v>309</v>
      </c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2"/>
      <c r="T3" s="283" t="s">
        <v>150</v>
      </c>
    </row>
    <row r="4" spans="1:23" ht="32.25" customHeight="1">
      <c r="A4" s="277"/>
      <c r="B4" s="277"/>
      <c r="C4" s="30" t="s">
        <v>141</v>
      </c>
      <c r="D4" s="31" t="str">
        <f>销量!C5</f>
        <v>3.0海外出口配件靠背骨架-电动</v>
      </c>
      <c r="E4" s="31" t="str">
        <f>销量!D5</f>
        <v>3.0海外出口配件靠背骨架-手动</v>
      </c>
      <c r="F4" s="31">
        <f>销量!E5</f>
        <v>0</v>
      </c>
      <c r="G4" s="31">
        <f>销量!F5</f>
        <v>0</v>
      </c>
      <c r="H4" s="31">
        <f>销量!G5</f>
        <v>0</v>
      </c>
      <c r="I4" s="31">
        <f>销量!H5</f>
        <v>0</v>
      </c>
      <c r="J4" s="31">
        <f>销量!I5</f>
        <v>0</v>
      </c>
      <c r="K4" s="31">
        <f>销量!J5</f>
        <v>0</v>
      </c>
      <c r="L4" s="31">
        <f>销量!K5</f>
        <v>0</v>
      </c>
      <c r="M4" s="31">
        <f>销量!L5</f>
        <v>0</v>
      </c>
      <c r="N4" s="31">
        <f>销量!M5</f>
        <v>0</v>
      </c>
      <c r="O4" s="31">
        <f>销量!N5</f>
        <v>0</v>
      </c>
      <c r="P4" s="31">
        <f>销量!O5</f>
        <v>0</v>
      </c>
      <c r="Q4" s="31">
        <f>销量!P5</f>
        <v>0</v>
      </c>
      <c r="R4" s="31">
        <f>销量!Q5</f>
        <v>0</v>
      </c>
      <c r="S4" s="31">
        <f>销量!R5</f>
        <v>0</v>
      </c>
      <c r="T4" s="284"/>
    </row>
    <row r="5" spans="1:23">
      <c r="A5" s="277"/>
      <c r="B5" s="277"/>
      <c r="C5" s="30" t="s">
        <v>142</v>
      </c>
      <c r="D5" s="31" t="str">
        <f>销量!C6</f>
        <v>/</v>
      </c>
      <c r="E5" s="31" t="str">
        <f>销量!D6</f>
        <v>/</v>
      </c>
      <c r="F5" s="31">
        <f>销量!E6</f>
        <v>0</v>
      </c>
      <c r="G5" s="31">
        <f>销量!F6</f>
        <v>0</v>
      </c>
      <c r="H5" s="31">
        <f>销量!G6</f>
        <v>0</v>
      </c>
      <c r="I5" s="31">
        <f>销量!H6</f>
        <v>0</v>
      </c>
      <c r="J5" s="31">
        <f>销量!I6</f>
        <v>0</v>
      </c>
      <c r="K5" s="31">
        <f>销量!J6</f>
        <v>0</v>
      </c>
      <c r="L5" s="31">
        <f>销量!K6</f>
        <v>0</v>
      </c>
      <c r="M5" s="31">
        <f>销量!L6</f>
        <v>0</v>
      </c>
      <c r="N5" s="31">
        <f>销量!M6</f>
        <v>0</v>
      </c>
      <c r="O5" s="31">
        <f>销量!N6</f>
        <v>0</v>
      </c>
      <c r="P5" s="31">
        <f>销量!O6</f>
        <v>0</v>
      </c>
      <c r="Q5" s="31">
        <f>销量!P6</f>
        <v>0</v>
      </c>
      <c r="R5" s="31">
        <f>销量!Q6</f>
        <v>0</v>
      </c>
      <c r="S5" s="31">
        <f>销量!R6</f>
        <v>0</v>
      </c>
      <c r="T5" s="285"/>
    </row>
    <row r="6" spans="1:23">
      <c r="A6" s="33">
        <v>1</v>
      </c>
      <c r="B6" s="272" t="s">
        <v>201</v>
      </c>
      <c r="C6" s="273"/>
      <c r="D6" s="34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9"/>
    </row>
    <row r="7" spans="1:23">
      <c r="A7" s="33">
        <v>2</v>
      </c>
      <c r="B7" s="272" t="s">
        <v>202</v>
      </c>
      <c r="C7" s="273"/>
      <c r="D7" s="34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9"/>
    </row>
    <row r="8" spans="1:23">
      <c r="A8" s="33">
        <v>3</v>
      </c>
      <c r="B8" s="272" t="s">
        <v>203</v>
      </c>
      <c r="C8" s="273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9"/>
    </row>
    <row r="9" spans="1:23">
      <c r="A9" s="33">
        <v>4</v>
      </c>
      <c r="B9" s="272" t="s">
        <v>204</v>
      </c>
      <c r="C9" s="273"/>
      <c r="D9" s="34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9"/>
    </row>
    <row r="10" spans="1:23">
      <c r="A10" s="33">
        <v>5</v>
      </c>
      <c r="B10" s="272" t="s">
        <v>205</v>
      </c>
      <c r="C10" s="273"/>
      <c r="D10" s="34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9"/>
    </row>
    <row r="11" spans="1:23">
      <c r="A11" s="33">
        <v>6</v>
      </c>
      <c r="B11" s="272" t="s">
        <v>206</v>
      </c>
      <c r="C11" s="273"/>
      <c r="D11" s="34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9"/>
    </row>
    <row r="12" spans="1:23">
      <c r="A12" s="33">
        <v>7</v>
      </c>
      <c r="B12" s="272" t="s">
        <v>207</v>
      </c>
      <c r="C12" s="273"/>
      <c r="D12" s="34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9"/>
    </row>
    <row r="13" spans="1:23">
      <c r="A13" s="33">
        <v>8</v>
      </c>
      <c r="B13" s="272" t="s">
        <v>208</v>
      </c>
      <c r="C13" s="273"/>
      <c r="D13" s="34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9"/>
    </row>
    <row r="14" spans="1:23">
      <c r="A14" s="33">
        <v>9</v>
      </c>
      <c r="B14" s="272" t="s">
        <v>209</v>
      </c>
      <c r="C14" s="273"/>
      <c r="D14" s="34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9"/>
    </row>
    <row r="15" spans="1:23">
      <c r="A15" s="33">
        <v>10</v>
      </c>
      <c r="B15" s="272" t="s">
        <v>210</v>
      </c>
      <c r="C15" s="273"/>
      <c r="D15" s="34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9"/>
    </row>
    <row r="16" spans="1:23">
      <c r="A16" s="33">
        <v>11</v>
      </c>
      <c r="B16" s="272" t="s">
        <v>211</v>
      </c>
      <c r="C16" s="273"/>
      <c r="D16" s="34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9"/>
    </row>
    <row r="17" spans="1:20">
      <c r="A17" s="33">
        <v>12</v>
      </c>
      <c r="B17" s="272" t="s">
        <v>212</v>
      </c>
      <c r="C17" s="273"/>
      <c r="D17" s="34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9"/>
    </row>
    <row r="18" spans="1:20">
      <c r="A18" s="33">
        <v>13</v>
      </c>
      <c r="B18" s="272" t="s">
        <v>213</v>
      </c>
      <c r="C18" s="273"/>
      <c r="D18" s="34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9"/>
    </row>
    <row r="19" spans="1:20">
      <c r="A19" s="33">
        <v>14</v>
      </c>
      <c r="B19" s="272" t="s">
        <v>214</v>
      </c>
      <c r="C19" s="273"/>
      <c r="D19" s="34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9"/>
    </row>
    <row r="20" spans="1:20">
      <c r="A20" s="33">
        <v>15</v>
      </c>
      <c r="B20" s="272" t="s">
        <v>215</v>
      </c>
      <c r="C20" s="273"/>
      <c r="D20" s="34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9"/>
    </row>
    <row r="21" spans="1:20">
      <c r="A21" s="33">
        <v>16</v>
      </c>
      <c r="B21" s="272" t="s">
        <v>216</v>
      </c>
      <c r="C21" s="273"/>
      <c r="D21" s="34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9"/>
    </row>
    <row r="22" spans="1:20">
      <c r="A22" s="33">
        <v>17</v>
      </c>
      <c r="B22" s="272" t="s">
        <v>36</v>
      </c>
      <c r="C22" s="273"/>
      <c r="D22" s="34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9"/>
    </row>
    <row r="23" spans="1:20">
      <c r="A23" s="33">
        <v>18</v>
      </c>
      <c r="B23" s="272" t="s">
        <v>217</v>
      </c>
      <c r="C23" s="273"/>
      <c r="D23" s="35">
        <v>219.97899059676453</v>
      </c>
      <c r="E23" s="35">
        <v>191.91335709561059</v>
      </c>
      <c r="F23" s="35"/>
      <c r="G23" s="35"/>
      <c r="H23" s="203"/>
      <c r="I23" s="203"/>
      <c r="J23" s="203"/>
      <c r="K23" s="203"/>
      <c r="L23" s="203"/>
      <c r="M23" s="203"/>
      <c r="N23" s="203"/>
      <c r="O23" s="203"/>
      <c r="P23" s="203"/>
      <c r="Q23" s="203"/>
      <c r="R23" s="203"/>
      <c r="S23" s="204"/>
      <c r="T23" s="40"/>
    </row>
    <row r="24" spans="1:20" ht="31.5" customHeight="1">
      <c r="A24" s="274" t="s">
        <v>218</v>
      </c>
      <c r="B24" s="275"/>
      <c r="C24" s="276"/>
      <c r="D24" s="36">
        <f>SUM(D6:D23)</f>
        <v>219.97899059676453</v>
      </c>
      <c r="E24" s="36">
        <f t="shared" ref="E24:S24" si="0">SUM(E6:E23)</f>
        <v>191.91335709561059</v>
      </c>
      <c r="F24" s="36">
        <f t="shared" si="0"/>
        <v>0</v>
      </c>
      <c r="G24" s="36">
        <f t="shared" si="0"/>
        <v>0</v>
      </c>
      <c r="H24" s="36">
        <f t="shared" si="0"/>
        <v>0</v>
      </c>
      <c r="I24" s="36">
        <f t="shared" si="0"/>
        <v>0</v>
      </c>
      <c r="J24" s="36">
        <f t="shared" si="0"/>
        <v>0</v>
      </c>
      <c r="K24" s="36">
        <f t="shared" si="0"/>
        <v>0</v>
      </c>
      <c r="L24" s="36">
        <f t="shared" si="0"/>
        <v>0</v>
      </c>
      <c r="M24" s="36">
        <f t="shared" si="0"/>
        <v>0</v>
      </c>
      <c r="N24" s="36">
        <f t="shared" si="0"/>
        <v>0</v>
      </c>
      <c r="O24" s="36">
        <f t="shared" si="0"/>
        <v>0</v>
      </c>
      <c r="P24" s="36">
        <f t="shared" si="0"/>
        <v>0</v>
      </c>
      <c r="Q24" s="36">
        <f t="shared" si="0"/>
        <v>0</v>
      </c>
      <c r="R24" s="36">
        <f t="shared" si="0"/>
        <v>0</v>
      </c>
      <c r="S24" s="36">
        <f t="shared" si="0"/>
        <v>0</v>
      </c>
      <c r="T24" s="40"/>
    </row>
    <row r="25" spans="1:20" ht="20.25" customHeight="1">
      <c r="C25" s="24" t="s">
        <v>287</v>
      </c>
      <c r="D25" s="37">
        <f>D24*1</f>
        <v>219.97899059676453</v>
      </c>
      <c r="E25" s="37">
        <f>E24*1</f>
        <v>191.91335709561059</v>
      </c>
      <c r="F25" s="37"/>
      <c r="G25" s="37">
        <f t="shared" ref="G25:S25" si="1">G24*0.95</f>
        <v>0</v>
      </c>
      <c r="H25" s="37">
        <f t="shared" si="1"/>
        <v>0</v>
      </c>
      <c r="I25" s="37">
        <f t="shared" si="1"/>
        <v>0</v>
      </c>
      <c r="J25" s="37">
        <f t="shared" si="1"/>
        <v>0</v>
      </c>
      <c r="K25" s="37">
        <f t="shared" si="1"/>
        <v>0</v>
      </c>
      <c r="L25" s="37">
        <f t="shared" si="1"/>
        <v>0</v>
      </c>
      <c r="M25" s="37">
        <f t="shared" si="1"/>
        <v>0</v>
      </c>
      <c r="N25" s="37">
        <f t="shared" si="1"/>
        <v>0</v>
      </c>
      <c r="O25" s="37">
        <f t="shared" si="1"/>
        <v>0</v>
      </c>
      <c r="P25" s="37">
        <f t="shared" si="1"/>
        <v>0</v>
      </c>
      <c r="Q25" s="37">
        <f t="shared" si="1"/>
        <v>0</v>
      </c>
      <c r="R25" s="37">
        <f t="shared" si="1"/>
        <v>0</v>
      </c>
      <c r="S25" s="37">
        <f t="shared" si="1"/>
        <v>0</v>
      </c>
    </row>
    <row r="26" spans="1:20" ht="20.25" customHeight="1">
      <c r="C26" s="24" t="s">
        <v>182</v>
      </c>
      <c r="D26" s="37">
        <f t="shared" ref="D26:D28" si="2">D25*1</f>
        <v>219.97899059676453</v>
      </c>
      <c r="E26" s="37">
        <f t="shared" ref="E26:E28" si="3">E25*1</f>
        <v>191.91335709561059</v>
      </c>
      <c r="F26" s="37"/>
      <c r="G26" s="37">
        <f t="shared" ref="G26:S28" si="4">G25*0.95</f>
        <v>0</v>
      </c>
      <c r="H26" s="37">
        <f t="shared" si="4"/>
        <v>0</v>
      </c>
      <c r="I26" s="37">
        <f t="shared" si="4"/>
        <v>0</v>
      </c>
      <c r="J26" s="37">
        <f t="shared" si="4"/>
        <v>0</v>
      </c>
      <c r="K26" s="37">
        <f t="shared" si="4"/>
        <v>0</v>
      </c>
      <c r="L26" s="37">
        <f t="shared" si="4"/>
        <v>0</v>
      </c>
      <c r="M26" s="37">
        <f t="shared" si="4"/>
        <v>0</v>
      </c>
      <c r="N26" s="37">
        <f t="shared" si="4"/>
        <v>0</v>
      </c>
      <c r="O26" s="37">
        <f t="shared" si="4"/>
        <v>0</v>
      </c>
      <c r="P26" s="37">
        <f t="shared" si="4"/>
        <v>0</v>
      </c>
      <c r="Q26" s="37">
        <f t="shared" si="4"/>
        <v>0</v>
      </c>
      <c r="R26" s="37">
        <f t="shared" si="4"/>
        <v>0</v>
      </c>
      <c r="S26" s="37">
        <f t="shared" si="4"/>
        <v>0</v>
      </c>
    </row>
    <row r="27" spans="1:20" ht="20.25" customHeight="1">
      <c r="C27" s="24" t="s">
        <v>183</v>
      </c>
      <c r="D27" s="37">
        <f t="shared" si="2"/>
        <v>219.97899059676453</v>
      </c>
      <c r="E27" s="37">
        <f t="shared" si="3"/>
        <v>191.91335709561059</v>
      </c>
      <c r="F27" s="37"/>
      <c r="G27" s="37">
        <f t="shared" ref="G27:I27" si="5">G26*0.95</f>
        <v>0</v>
      </c>
      <c r="H27" s="37">
        <f t="shared" si="5"/>
        <v>0</v>
      </c>
      <c r="I27" s="37">
        <f t="shared" si="5"/>
        <v>0</v>
      </c>
      <c r="J27" s="37">
        <f t="shared" si="4"/>
        <v>0</v>
      </c>
      <c r="K27" s="37">
        <f t="shared" si="4"/>
        <v>0</v>
      </c>
      <c r="L27" s="37">
        <f t="shared" si="4"/>
        <v>0</v>
      </c>
      <c r="M27" s="37">
        <f t="shared" si="4"/>
        <v>0</v>
      </c>
      <c r="N27" s="37">
        <f t="shared" si="4"/>
        <v>0</v>
      </c>
      <c r="O27" s="37">
        <f t="shared" si="4"/>
        <v>0</v>
      </c>
      <c r="P27" s="37">
        <f t="shared" si="4"/>
        <v>0</v>
      </c>
      <c r="Q27" s="37">
        <f t="shared" si="4"/>
        <v>0</v>
      </c>
      <c r="R27" s="37">
        <f t="shared" si="4"/>
        <v>0</v>
      </c>
      <c r="S27" s="37">
        <f t="shared" si="4"/>
        <v>0</v>
      </c>
    </row>
    <row r="28" spans="1:20" ht="20.25" customHeight="1">
      <c r="C28" s="24" t="s">
        <v>184</v>
      </c>
      <c r="D28" s="37">
        <f t="shared" si="2"/>
        <v>219.97899059676453</v>
      </c>
      <c r="E28" s="37">
        <f t="shared" si="3"/>
        <v>191.91335709561059</v>
      </c>
      <c r="F28" s="37"/>
      <c r="G28" s="37">
        <f t="shared" ref="G28:I28" si="6">G27*0.95</f>
        <v>0</v>
      </c>
      <c r="H28" s="37">
        <f t="shared" si="6"/>
        <v>0</v>
      </c>
      <c r="I28" s="37">
        <f t="shared" si="6"/>
        <v>0</v>
      </c>
      <c r="J28" s="37">
        <f t="shared" si="4"/>
        <v>0</v>
      </c>
      <c r="K28" s="37">
        <f t="shared" si="4"/>
        <v>0</v>
      </c>
      <c r="L28" s="37">
        <f t="shared" si="4"/>
        <v>0</v>
      </c>
      <c r="M28" s="37">
        <f t="shared" si="4"/>
        <v>0</v>
      </c>
      <c r="N28" s="37">
        <f t="shared" si="4"/>
        <v>0</v>
      </c>
      <c r="O28" s="37">
        <f t="shared" si="4"/>
        <v>0</v>
      </c>
      <c r="P28" s="37">
        <f t="shared" si="4"/>
        <v>0</v>
      </c>
      <c r="Q28" s="37">
        <f t="shared" si="4"/>
        <v>0</v>
      </c>
      <c r="R28" s="37">
        <f t="shared" si="4"/>
        <v>0</v>
      </c>
      <c r="S28" s="37">
        <f t="shared" si="4"/>
        <v>0</v>
      </c>
    </row>
    <row r="29" spans="1:20" ht="20.25" customHeight="1">
      <c r="C29" s="24" t="s">
        <v>254</v>
      </c>
    </row>
    <row r="31" spans="1:20">
      <c r="D31" s="24"/>
      <c r="E31" s="24"/>
    </row>
  </sheetData>
  <mergeCells count="27">
    <mergeCell ref="A1:B1"/>
    <mergeCell ref="D3:E3"/>
    <mergeCell ref="G3:S3"/>
    <mergeCell ref="T3:T5"/>
    <mergeCell ref="F2:T2"/>
    <mergeCell ref="A2:E2"/>
    <mergeCell ref="B6:C6"/>
    <mergeCell ref="B7:C7"/>
    <mergeCell ref="B8:C8"/>
    <mergeCell ref="B9:C9"/>
    <mergeCell ref="B10:C10"/>
    <mergeCell ref="B21:C21"/>
    <mergeCell ref="B22:C22"/>
    <mergeCell ref="B23:C23"/>
    <mergeCell ref="A24:C24"/>
    <mergeCell ref="A3:A5"/>
    <mergeCell ref="B3:B5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</mergeCells>
  <phoneticPr fontId="45" type="noConversion"/>
  <pageMargins left="0.70866141732283505" right="0.118110236220472" top="0.35433070866141703" bottom="0.35433070866141703" header="0.31496062992126" footer="0.31496062992126"/>
  <pageSetup paperSize="9" orientation="portrait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workbookViewId="0">
      <pane xSplit="2" ySplit="1" topLeftCell="C2" activePane="bottomRight" state="frozen"/>
      <selection pane="topRight"/>
      <selection pane="bottomLeft"/>
      <selection pane="bottomRight" activeCell="D21" sqref="D21"/>
    </sheetView>
  </sheetViews>
  <sheetFormatPr defaultColWidth="9" defaultRowHeight="13.5"/>
  <cols>
    <col min="1" max="1" width="5.75" style="16" customWidth="1"/>
    <col min="2" max="2" width="29.625" style="16" customWidth="1"/>
    <col min="3" max="3" width="16.75" style="16" customWidth="1"/>
    <col min="4" max="4" width="22" style="16" customWidth="1"/>
    <col min="5" max="16384" width="9" style="16"/>
  </cols>
  <sheetData>
    <row r="1" spans="1:4" ht="39.75" customHeight="1">
      <c r="A1" s="17" t="s">
        <v>18</v>
      </c>
      <c r="B1" s="17" t="s">
        <v>219</v>
      </c>
      <c r="C1" s="17" t="s">
        <v>220</v>
      </c>
      <c r="D1" s="17" t="s">
        <v>221</v>
      </c>
    </row>
    <row r="2" spans="1:4" ht="25.5" customHeight="1">
      <c r="A2" s="17">
        <v>1</v>
      </c>
      <c r="B2" s="18" t="s">
        <v>222</v>
      </c>
      <c r="C2" s="19" t="s">
        <v>272</v>
      </c>
      <c r="D2" s="170"/>
    </row>
    <row r="3" spans="1:4" ht="24" customHeight="1">
      <c r="A3" s="17">
        <v>2</v>
      </c>
      <c r="B3" s="18" t="s">
        <v>223</v>
      </c>
      <c r="C3" s="20"/>
      <c r="D3" s="170" t="s">
        <v>292</v>
      </c>
    </row>
    <row r="4" spans="1:4" ht="19.5" customHeight="1">
      <c r="A4" s="17">
        <v>3</v>
      </c>
      <c r="B4" s="18" t="s">
        <v>224</v>
      </c>
      <c r="C4" s="19"/>
      <c r="D4" s="170"/>
    </row>
    <row r="5" spans="1:4" ht="21" customHeight="1">
      <c r="A5" s="17">
        <v>4</v>
      </c>
      <c r="B5" s="18" t="s">
        <v>225</v>
      </c>
      <c r="C5" s="19" t="s">
        <v>273</v>
      </c>
      <c r="D5" s="170"/>
    </row>
    <row r="6" spans="1:4" ht="21" customHeight="1">
      <c r="A6" s="17">
        <v>5</v>
      </c>
      <c r="B6" s="18" t="s">
        <v>226</v>
      </c>
      <c r="C6" s="19" t="s">
        <v>274</v>
      </c>
      <c r="D6" s="170"/>
    </row>
    <row r="7" spans="1:4" ht="27.75" customHeight="1">
      <c r="A7" s="17">
        <v>6</v>
      </c>
      <c r="B7" s="170" t="s">
        <v>227</v>
      </c>
      <c r="C7" s="20"/>
      <c r="D7" s="170"/>
    </row>
    <row r="8" spans="1:4" ht="25.5" customHeight="1">
      <c r="A8" s="17">
        <v>7</v>
      </c>
      <c r="B8" s="18" t="s">
        <v>228</v>
      </c>
      <c r="C8" s="21"/>
      <c r="D8" s="170"/>
    </row>
    <row r="9" spans="1:4" ht="25.5" customHeight="1">
      <c r="A9" s="17">
        <v>8</v>
      </c>
      <c r="B9" s="170" t="s">
        <v>229</v>
      </c>
      <c r="C9" s="21"/>
      <c r="D9" s="170"/>
    </row>
    <row r="10" spans="1:4" ht="25.5" customHeight="1">
      <c r="A10" s="17">
        <v>9</v>
      </c>
      <c r="B10" s="170" t="s">
        <v>230</v>
      </c>
      <c r="C10" s="21"/>
      <c r="D10" s="170"/>
    </row>
    <row r="11" spans="1:4" ht="25.5" customHeight="1">
      <c r="A11" s="17">
        <v>10</v>
      </c>
      <c r="B11" s="170" t="s">
        <v>231</v>
      </c>
      <c r="C11" s="21"/>
      <c r="D11" s="170" t="s">
        <v>232</v>
      </c>
    </row>
    <row r="12" spans="1:4" ht="25.5" customHeight="1">
      <c r="A12" s="17">
        <v>11</v>
      </c>
      <c r="B12" s="170" t="s">
        <v>233</v>
      </c>
      <c r="C12" s="21"/>
      <c r="D12" s="170"/>
    </row>
    <row r="13" spans="1:4" ht="24" customHeight="1">
      <c r="A13" s="17">
        <v>12</v>
      </c>
      <c r="B13" s="18" t="s">
        <v>234</v>
      </c>
      <c r="C13" s="21" t="s">
        <v>293</v>
      </c>
      <c r="D13" s="170"/>
    </row>
    <row r="14" spans="1:4" ht="24" customHeight="1">
      <c r="A14" s="17">
        <v>13</v>
      </c>
      <c r="B14" s="18" t="s">
        <v>235</v>
      </c>
      <c r="C14" s="21"/>
      <c r="D14" s="170"/>
    </row>
    <row r="15" spans="1:4" ht="24" customHeight="1">
      <c r="A15" s="17">
        <v>14</v>
      </c>
      <c r="B15" s="18" t="s">
        <v>236</v>
      </c>
      <c r="C15" s="21"/>
      <c r="D15" s="170"/>
    </row>
    <row r="16" spans="1:4" ht="24" customHeight="1">
      <c r="A16" s="17">
        <v>15</v>
      </c>
      <c r="B16" s="170" t="s">
        <v>36</v>
      </c>
      <c r="C16" s="170"/>
      <c r="D16" s="170"/>
    </row>
    <row r="17" spans="2:2" ht="16.5">
      <c r="B17" s="22" t="s">
        <v>237</v>
      </c>
    </row>
  </sheetData>
  <phoneticPr fontId="4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P205"/>
  <sheetViews>
    <sheetView zoomScale="85" zoomScaleNormal="85" workbookViewId="0">
      <selection activeCell="K20" sqref="K20"/>
    </sheetView>
  </sheetViews>
  <sheetFormatPr defaultColWidth="9" defaultRowHeight="13.5"/>
  <cols>
    <col min="1" max="2" width="9" style="2"/>
    <col min="3" max="4" width="12.625" style="2" customWidth="1"/>
    <col min="5" max="5" width="11.5" style="2" customWidth="1"/>
    <col min="6" max="7" width="11.125" style="2" customWidth="1"/>
    <col min="8" max="8" width="14.5" style="2" customWidth="1"/>
    <col min="9" max="9" width="17.75" style="3" customWidth="1"/>
    <col min="10" max="16384" width="9" style="2"/>
  </cols>
  <sheetData>
    <row r="1" spans="1:16" s="1" customFormat="1" ht="18.75" customHeight="1">
      <c r="G1" s="296" t="s">
        <v>238</v>
      </c>
      <c r="H1" s="296"/>
      <c r="I1" s="15" t="str">
        <f>销量!C6</f>
        <v>/</v>
      </c>
    </row>
    <row r="2" spans="1:16" ht="39" customHeight="1">
      <c r="A2" s="295" t="s">
        <v>239</v>
      </c>
      <c r="B2" s="295"/>
      <c r="C2" s="290" t="s">
        <v>267</v>
      </c>
      <c r="D2" s="297"/>
      <c r="E2" s="297"/>
      <c r="F2" s="297"/>
      <c r="G2" s="297"/>
      <c r="H2" s="291"/>
      <c r="I2" s="3" t="s">
        <v>240</v>
      </c>
    </row>
    <row r="3" spans="1:16" ht="34.5" customHeight="1">
      <c r="A3" s="295"/>
      <c r="B3" s="295"/>
      <c r="C3" s="4" t="s">
        <v>241</v>
      </c>
      <c r="D3" s="4" t="s">
        <v>242</v>
      </c>
      <c r="E3" s="4" t="s">
        <v>243</v>
      </c>
      <c r="F3" s="5" t="s">
        <v>244</v>
      </c>
      <c r="G3" s="5" t="s">
        <v>245</v>
      </c>
      <c r="H3" s="167" t="s">
        <v>296</v>
      </c>
      <c r="I3" s="14">
        <f>销量!C8</f>
        <v>314.25570085252076</v>
      </c>
      <c r="J3" s="167" t="s">
        <v>271</v>
      </c>
      <c r="K3" s="167" t="s">
        <v>265</v>
      </c>
      <c r="L3" s="167" t="s">
        <v>270</v>
      </c>
      <c r="M3" s="167" t="s">
        <v>294</v>
      </c>
      <c r="N3" s="193" t="s">
        <v>268</v>
      </c>
    </row>
    <row r="4" spans="1:16" ht="24" customHeight="1">
      <c r="A4" s="292" t="s">
        <v>247</v>
      </c>
      <c r="B4" s="292"/>
      <c r="C4" s="7"/>
      <c r="D4" s="8"/>
      <c r="E4" s="9">
        <f>$I$3*H4</f>
        <v>25.077604928031157</v>
      </c>
      <c r="F4" s="9"/>
      <c r="G4" s="9"/>
      <c r="H4" s="13">
        <v>7.9799999999999996E-2</v>
      </c>
      <c r="J4" s="10">
        <v>1.23E-2</v>
      </c>
      <c r="K4" s="13">
        <v>2.93E-2</v>
      </c>
      <c r="L4" s="13">
        <v>6.9400000000000003E-2</v>
      </c>
      <c r="M4" s="13">
        <v>7.9799999999999996E-2</v>
      </c>
      <c r="N4" s="194">
        <v>6.9400000000000003E-2</v>
      </c>
    </row>
    <row r="5" spans="1:16" ht="24" customHeight="1">
      <c r="A5" s="292" t="s">
        <v>248</v>
      </c>
      <c r="B5" s="6" t="s">
        <v>249</v>
      </c>
      <c r="C5" s="7"/>
      <c r="D5" s="8"/>
      <c r="E5" s="9">
        <f>$I$3*H5</f>
        <v>19.892385863964563</v>
      </c>
      <c r="F5" s="9"/>
      <c r="G5" s="9"/>
      <c r="H5" s="10">
        <v>6.3299999999999995E-2</v>
      </c>
      <c r="J5" s="10">
        <v>3.6600000000000001E-2</v>
      </c>
      <c r="K5" s="13">
        <v>6.4699999999999994E-2</v>
      </c>
      <c r="L5" s="10">
        <v>8.2500000000000004E-2</v>
      </c>
      <c r="M5" s="10">
        <v>6.3299999999999995E-2</v>
      </c>
      <c r="N5" s="194">
        <v>8.2500000000000004E-2</v>
      </c>
    </row>
    <row r="6" spans="1:16" ht="24" customHeight="1">
      <c r="A6" s="292"/>
      <c r="B6" s="6" t="s">
        <v>250</v>
      </c>
      <c r="C6" s="7"/>
      <c r="D6" s="8"/>
      <c r="E6" s="9">
        <f t="shared" ref="E6:E11" si="0">$I$3*H6</f>
        <v>16.498424294757342</v>
      </c>
      <c r="F6" s="9"/>
      <c r="G6" s="9"/>
      <c r="H6" s="13">
        <v>5.2500000000000005E-2</v>
      </c>
      <c r="J6" s="10">
        <v>1.11E-2</v>
      </c>
      <c r="K6" s="13">
        <v>8.6999999999999994E-3</v>
      </c>
      <c r="L6" s="13">
        <v>4.3400000000000001E-2</v>
      </c>
      <c r="M6" s="10">
        <f>11.58%-M5</f>
        <v>5.2500000000000005E-2</v>
      </c>
      <c r="N6" s="194">
        <v>4.3400000000000001E-2</v>
      </c>
    </row>
    <row r="7" spans="1:16" ht="24" customHeight="1">
      <c r="A7" s="290" t="s">
        <v>251</v>
      </c>
      <c r="B7" s="291"/>
      <c r="C7" s="11"/>
      <c r="D7" s="12"/>
      <c r="E7" s="9">
        <f t="shared" si="0"/>
        <v>61.468415086753062</v>
      </c>
      <c r="F7" s="9"/>
      <c r="G7" s="9"/>
      <c r="H7" s="195">
        <f>SUM(H4:H6)</f>
        <v>0.1956</v>
      </c>
      <c r="J7" s="195">
        <f t="shared" ref="J7:K7" si="1">SUM(J4:J6)</f>
        <v>0.06</v>
      </c>
      <c r="K7" s="195">
        <f t="shared" si="1"/>
        <v>0.1027</v>
      </c>
      <c r="L7" s="195">
        <f>SUM(L4:L6)</f>
        <v>0.1953</v>
      </c>
      <c r="M7" s="195">
        <f>SUM(M4:M6)</f>
        <v>0.1956</v>
      </c>
      <c r="N7" s="194"/>
    </row>
    <row r="8" spans="1:16" ht="24" customHeight="1">
      <c r="A8" s="292" t="s">
        <v>79</v>
      </c>
      <c r="B8" s="292"/>
      <c r="C8" s="7"/>
      <c r="D8" s="8"/>
      <c r="E8" s="9">
        <f t="shared" si="0"/>
        <v>1.5398529341773517</v>
      </c>
      <c r="F8" s="9"/>
      <c r="G8" s="9"/>
      <c r="H8" s="10">
        <v>4.8999999999999998E-3</v>
      </c>
      <c r="J8" s="10">
        <v>3.2300000000000002E-2</v>
      </c>
      <c r="K8" s="13">
        <v>2.0500000000000001E-2</v>
      </c>
      <c r="L8" s="10">
        <v>2.64E-2</v>
      </c>
      <c r="M8" s="10">
        <v>4.8999999999999998E-3</v>
      </c>
      <c r="N8" s="194">
        <v>2.64E-2</v>
      </c>
      <c r="O8" s="175" t="s">
        <v>269</v>
      </c>
    </row>
    <row r="9" spans="1:16" ht="24" customHeight="1">
      <c r="A9" s="293" t="s">
        <v>252</v>
      </c>
      <c r="B9" s="6" t="s">
        <v>249</v>
      </c>
      <c r="C9" s="7"/>
      <c r="D9" s="8"/>
      <c r="E9" s="9">
        <f t="shared" si="0"/>
        <v>0</v>
      </c>
      <c r="F9" s="9"/>
      <c r="G9" s="9"/>
      <c r="H9" s="10">
        <v>0</v>
      </c>
      <c r="J9" s="10">
        <v>8.3999999999999995E-3</v>
      </c>
      <c r="K9" s="13">
        <v>1.37E-2</v>
      </c>
      <c r="L9" s="10">
        <v>1.72E-2</v>
      </c>
      <c r="M9" s="10">
        <v>0</v>
      </c>
      <c r="N9" s="196">
        <v>1.72E-2</v>
      </c>
      <c r="O9" s="197">
        <v>2.1100000000000001E-2</v>
      </c>
      <c r="P9" s="197">
        <v>0.10340000000000001</v>
      </c>
    </row>
    <row r="10" spans="1:16" ht="24" customHeight="1">
      <c r="A10" s="294"/>
      <c r="B10" s="6" t="s">
        <v>250</v>
      </c>
      <c r="C10" s="7"/>
      <c r="D10" s="8"/>
      <c r="E10" s="9">
        <f t="shared" si="0"/>
        <v>7.3535833999489846</v>
      </c>
      <c r="F10" s="9"/>
      <c r="G10" s="9"/>
      <c r="H10" s="234">
        <f>M10-1.51%</f>
        <v>2.3399999999999997E-2</v>
      </c>
      <c r="I10" s="231" t="s">
        <v>297</v>
      </c>
      <c r="J10" s="10">
        <v>1.6E-2</v>
      </c>
      <c r="K10" s="13">
        <v>4.1200000000000001E-2</v>
      </c>
      <c r="L10" s="13">
        <v>6.5100000000000005E-2</v>
      </c>
      <c r="M10" s="13">
        <v>3.85E-2</v>
      </c>
      <c r="N10" s="196">
        <v>6.5100000000000005E-2</v>
      </c>
      <c r="O10" s="198"/>
      <c r="P10" s="198"/>
    </row>
    <row r="11" spans="1:16" ht="24" customHeight="1">
      <c r="A11" s="292" t="s">
        <v>82</v>
      </c>
      <c r="B11" s="292"/>
      <c r="C11" s="7"/>
      <c r="D11" s="8"/>
      <c r="E11" s="9">
        <f t="shared" si="0"/>
        <v>11.690312071713771</v>
      </c>
      <c r="F11" s="9"/>
      <c r="G11" s="9"/>
      <c r="H11" s="10">
        <v>3.7199999999999997E-2</v>
      </c>
      <c r="J11" s="10">
        <v>3.5499999999999997E-2</v>
      </c>
      <c r="K11" s="13">
        <v>4.36E-2</v>
      </c>
      <c r="L11" s="10">
        <v>3.5499999999999997E-2</v>
      </c>
      <c r="M11" s="10">
        <v>3.7199999999999997E-2</v>
      </c>
      <c r="N11" s="194">
        <v>3.0099999999999998E-2</v>
      </c>
    </row>
    <row r="13" spans="1:16" s="1" customFormat="1" ht="18.75" customHeight="1">
      <c r="G13" s="296" t="s">
        <v>238</v>
      </c>
      <c r="H13" s="296"/>
      <c r="I13" s="15" t="str">
        <f>销量!D6</f>
        <v>/</v>
      </c>
    </row>
    <row r="14" spans="1:16" ht="39" customHeight="1">
      <c r="A14" s="295" t="s">
        <v>239</v>
      </c>
      <c r="B14" s="295"/>
      <c r="C14" s="290" t="str">
        <f>C2</f>
        <v>河北工厂平均值</v>
      </c>
      <c r="D14" s="297"/>
      <c r="E14" s="297"/>
      <c r="F14" s="297"/>
      <c r="G14" s="297"/>
      <c r="H14" s="291"/>
      <c r="I14" s="3" t="s">
        <v>240</v>
      </c>
      <c r="J14"/>
    </row>
    <row r="15" spans="1:16" ht="34.5" customHeight="1">
      <c r="A15" s="295"/>
      <c r="B15" s="295"/>
      <c r="C15" s="4" t="s">
        <v>241</v>
      </c>
      <c r="D15" s="4" t="s">
        <v>242</v>
      </c>
      <c r="E15" s="4" t="s">
        <v>243</v>
      </c>
      <c r="F15" s="5" t="s">
        <v>244</v>
      </c>
      <c r="G15" s="5" t="s">
        <v>245</v>
      </c>
      <c r="H15" s="5" t="s">
        <v>246</v>
      </c>
      <c r="I15" s="14">
        <f>销量!D8</f>
        <v>274.16193870801516</v>
      </c>
    </row>
    <row r="16" spans="1:16" ht="24" customHeight="1">
      <c r="A16" s="292" t="s">
        <v>247</v>
      </c>
      <c r="B16" s="292"/>
      <c r="C16" s="7"/>
      <c r="D16" s="8"/>
      <c r="E16" s="9">
        <f>$I$15*H16</f>
        <v>21.878122708899607</v>
      </c>
      <c r="F16" s="9"/>
      <c r="G16" s="9"/>
      <c r="H16" s="10">
        <f t="shared" ref="H16:H23" si="2">H4</f>
        <v>7.9799999999999996E-2</v>
      </c>
    </row>
    <row r="17" spans="1:9" ht="24" customHeight="1">
      <c r="A17" s="292" t="s">
        <v>248</v>
      </c>
      <c r="B17" s="6" t="s">
        <v>249</v>
      </c>
      <c r="C17" s="7"/>
      <c r="D17" s="8"/>
      <c r="E17" s="9">
        <f t="shared" ref="E17:E23" si="3">$I$15*H17</f>
        <v>17.354450720217358</v>
      </c>
      <c r="F17" s="9"/>
      <c r="G17" s="9"/>
      <c r="H17" s="10">
        <f t="shared" si="2"/>
        <v>6.3299999999999995E-2</v>
      </c>
    </row>
    <row r="18" spans="1:9" ht="24" customHeight="1">
      <c r="A18" s="292"/>
      <c r="B18" s="6" t="s">
        <v>250</v>
      </c>
      <c r="C18" s="7"/>
      <c r="D18" s="8"/>
      <c r="E18" s="9">
        <f t="shared" si="3"/>
        <v>14.393501782170796</v>
      </c>
      <c r="F18" s="9"/>
      <c r="G18" s="9"/>
      <c r="H18" s="10">
        <f t="shared" si="2"/>
        <v>5.2500000000000005E-2</v>
      </c>
    </row>
    <row r="19" spans="1:9" ht="24" customHeight="1">
      <c r="A19" s="290" t="s">
        <v>251</v>
      </c>
      <c r="B19" s="291"/>
      <c r="C19" s="11"/>
      <c r="D19" s="12"/>
      <c r="E19" s="9">
        <f t="shared" si="3"/>
        <v>53.626075211287763</v>
      </c>
      <c r="F19" s="9"/>
      <c r="G19" s="9"/>
      <c r="H19" s="13">
        <f t="shared" si="2"/>
        <v>0.1956</v>
      </c>
    </row>
    <row r="20" spans="1:9" ht="24" customHeight="1">
      <c r="A20" s="292" t="s">
        <v>79</v>
      </c>
      <c r="B20" s="292"/>
      <c r="C20" s="7"/>
      <c r="D20" s="8"/>
      <c r="E20" s="9">
        <f t="shared" si="3"/>
        <v>1.3433934996692742</v>
      </c>
      <c r="F20" s="9"/>
      <c r="G20" s="9"/>
      <c r="H20" s="10">
        <f t="shared" si="2"/>
        <v>4.8999999999999998E-3</v>
      </c>
    </row>
    <row r="21" spans="1:9" ht="24" customHeight="1">
      <c r="A21" s="293" t="s">
        <v>252</v>
      </c>
      <c r="B21" s="6" t="s">
        <v>249</v>
      </c>
      <c r="C21" s="7"/>
      <c r="D21" s="8"/>
      <c r="E21" s="9">
        <f t="shared" si="3"/>
        <v>0</v>
      </c>
      <c r="F21" s="9"/>
      <c r="G21" s="9"/>
      <c r="H21" s="10">
        <f t="shared" si="2"/>
        <v>0</v>
      </c>
    </row>
    <row r="22" spans="1:9" ht="24" customHeight="1">
      <c r="A22" s="294"/>
      <c r="B22" s="6" t="s">
        <v>250</v>
      </c>
      <c r="C22" s="7"/>
      <c r="D22" s="8"/>
      <c r="E22" s="9">
        <f t="shared" si="3"/>
        <v>6.4153893657675543</v>
      </c>
      <c r="F22" s="9"/>
      <c r="G22" s="9"/>
      <c r="H22" s="298">
        <f t="shared" si="2"/>
        <v>2.3399999999999997E-2</v>
      </c>
      <c r="I22" s="231" t="s">
        <v>297</v>
      </c>
    </row>
    <row r="23" spans="1:9" ht="24" customHeight="1">
      <c r="A23" s="292" t="s">
        <v>82</v>
      </c>
      <c r="B23" s="292"/>
      <c r="C23" s="7"/>
      <c r="D23" s="8"/>
      <c r="E23" s="9">
        <f t="shared" si="3"/>
        <v>10.198824119938163</v>
      </c>
      <c r="F23" s="9"/>
      <c r="G23" s="9"/>
      <c r="H23" s="10">
        <f t="shared" si="2"/>
        <v>3.7199999999999997E-2</v>
      </c>
    </row>
    <row r="26" spans="1:9" s="1" customFormat="1" ht="18.75" customHeight="1">
      <c r="G26" s="296" t="s">
        <v>238</v>
      </c>
      <c r="H26" s="296"/>
      <c r="I26" s="15">
        <f>销量!E6</f>
        <v>0</v>
      </c>
    </row>
    <row r="27" spans="1:9" ht="39" customHeight="1">
      <c r="A27" s="295" t="s">
        <v>239</v>
      </c>
      <c r="B27" s="295"/>
      <c r="C27" s="290" t="str">
        <f>C2</f>
        <v>河北工厂平均值</v>
      </c>
      <c r="D27" s="297"/>
      <c r="E27" s="297"/>
      <c r="F27" s="297"/>
      <c r="G27" s="297"/>
      <c r="H27" s="291"/>
      <c r="I27" s="3" t="s">
        <v>240</v>
      </c>
    </row>
    <row r="28" spans="1:9" ht="34.5" customHeight="1">
      <c r="A28" s="295"/>
      <c r="B28" s="295"/>
      <c r="C28" s="4" t="s">
        <v>241</v>
      </c>
      <c r="D28" s="4" t="s">
        <v>242</v>
      </c>
      <c r="E28" s="4" t="s">
        <v>243</v>
      </c>
      <c r="F28" s="5" t="s">
        <v>244</v>
      </c>
      <c r="G28" s="5" t="s">
        <v>245</v>
      </c>
      <c r="H28" s="5" t="s">
        <v>246</v>
      </c>
      <c r="I28" s="14">
        <f>销量!E8</f>
        <v>0</v>
      </c>
    </row>
    <row r="29" spans="1:9" ht="24" customHeight="1">
      <c r="A29" s="292" t="s">
        <v>247</v>
      </c>
      <c r="B29" s="292"/>
      <c r="C29" s="7"/>
      <c r="D29" s="8"/>
      <c r="E29" s="9">
        <f>$I$28*H29</f>
        <v>0</v>
      </c>
      <c r="F29" s="9"/>
      <c r="G29" s="9"/>
      <c r="H29" s="10">
        <f t="shared" ref="H29:H36" si="4">H4</f>
        <v>7.9799999999999996E-2</v>
      </c>
    </row>
    <row r="30" spans="1:9" ht="24" customHeight="1">
      <c r="A30" s="292" t="s">
        <v>248</v>
      </c>
      <c r="B30" s="6" t="s">
        <v>249</v>
      </c>
      <c r="C30" s="7"/>
      <c r="D30" s="8"/>
      <c r="E30" s="9">
        <f t="shared" ref="E30:E36" si="5">$I$28*H30</f>
        <v>0</v>
      </c>
      <c r="F30" s="9"/>
      <c r="G30" s="9"/>
      <c r="H30" s="10">
        <f t="shared" si="4"/>
        <v>6.3299999999999995E-2</v>
      </c>
    </row>
    <row r="31" spans="1:9" ht="24" customHeight="1">
      <c r="A31" s="292"/>
      <c r="B31" s="6" t="s">
        <v>250</v>
      </c>
      <c r="C31" s="7"/>
      <c r="D31" s="8"/>
      <c r="E31" s="9">
        <f t="shared" si="5"/>
        <v>0</v>
      </c>
      <c r="F31" s="9"/>
      <c r="G31" s="9"/>
      <c r="H31" s="10">
        <f t="shared" si="4"/>
        <v>5.2500000000000005E-2</v>
      </c>
    </row>
    <row r="32" spans="1:9" ht="24" customHeight="1">
      <c r="A32" s="290" t="s">
        <v>251</v>
      </c>
      <c r="B32" s="291"/>
      <c r="C32" s="11"/>
      <c r="D32" s="12"/>
      <c r="E32" s="9">
        <f t="shared" si="5"/>
        <v>0</v>
      </c>
      <c r="F32" s="9"/>
      <c r="G32" s="9"/>
      <c r="H32" s="13">
        <f t="shared" si="4"/>
        <v>0.1956</v>
      </c>
    </row>
    <row r="33" spans="1:9" ht="24" customHeight="1">
      <c r="A33" s="292" t="s">
        <v>79</v>
      </c>
      <c r="B33" s="292"/>
      <c r="C33" s="7"/>
      <c r="D33" s="8"/>
      <c r="E33" s="9">
        <f t="shared" si="5"/>
        <v>0</v>
      </c>
      <c r="F33" s="9"/>
      <c r="G33" s="9"/>
      <c r="H33" s="10">
        <f t="shared" si="4"/>
        <v>4.8999999999999998E-3</v>
      </c>
    </row>
    <row r="34" spans="1:9" ht="24" customHeight="1">
      <c r="A34" s="293" t="s">
        <v>252</v>
      </c>
      <c r="B34" s="6" t="s">
        <v>249</v>
      </c>
      <c r="C34" s="7"/>
      <c r="D34" s="8"/>
      <c r="E34" s="9">
        <f t="shared" si="5"/>
        <v>0</v>
      </c>
      <c r="F34" s="9"/>
      <c r="G34" s="9"/>
      <c r="H34" s="10">
        <f t="shared" si="4"/>
        <v>0</v>
      </c>
    </row>
    <row r="35" spans="1:9" ht="24" customHeight="1">
      <c r="A35" s="294"/>
      <c r="B35" s="6" t="s">
        <v>250</v>
      </c>
      <c r="C35" s="7"/>
      <c r="D35" s="8"/>
      <c r="E35" s="9">
        <f t="shared" si="5"/>
        <v>0</v>
      </c>
      <c r="F35" s="9"/>
      <c r="G35" s="9"/>
      <c r="H35" s="10">
        <f t="shared" si="4"/>
        <v>2.3399999999999997E-2</v>
      </c>
    </row>
    <row r="36" spans="1:9" ht="24" customHeight="1">
      <c r="A36" s="292" t="s">
        <v>82</v>
      </c>
      <c r="B36" s="292"/>
      <c r="C36" s="7"/>
      <c r="D36" s="8"/>
      <c r="E36" s="9">
        <f t="shared" si="5"/>
        <v>0</v>
      </c>
      <c r="F36" s="9"/>
      <c r="G36" s="9"/>
      <c r="H36" s="10">
        <f t="shared" si="4"/>
        <v>3.7199999999999997E-2</v>
      </c>
    </row>
    <row r="39" spans="1:9" s="1" customFormat="1" ht="18.75" customHeight="1">
      <c r="G39" s="296" t="s">
        <v>238</v>
      </c>
      <c r="H39" s="296"/>
      <c r="I39" s="15">
        <f>销量!F6</f>
        <v>0</v>
      </c>
    </row>
    <row r="40" spans="1:9" ht="39" customHeight="1">
      <c r="A40" s="295" t="s">
        <v>239</v>
      </c>
      <c r="B40" s="295"/>
      <c r="C40" s="290" t="str">
        <f>C2</f>
        <v>河北工厂平均值</v>
      </c>
      <c r="D40" s="297"/>
      <c r="E40" s="297"/>
      <c r="F40" s="297"/>
      <c r="G40" s="297"/>
      <c r="H40" s="291"/>
      <c r="I40" s="3" t="s">
        <v>240</v>
      </c>
    </row>
    <row r="41" spans="1:9" ht="34.5" customHeight="1">
      <c r="A41" s="295"/>
      <c r="B41" s="295"/>
      <c r="C41" s="4" t="s">
        <v>241</v>
      </c>
      <c r="D41" s="4" t="s">
        <v>242</v>
      </c>
      <c r="E41" s="4" t="s">
        <v>243</v>
      </c>
      <c r="F41" s="5" t="s">
        <v>244</v>
      </c>
      <c r="G41" s="5" t="s">
        <v>245</v>
      </c>
      <c r="H41" s="5" t="s">
        <v>246</v>
      </c>
      <c r="I41" s="14">
        <f>销量!F8</f>
        <v>0</v>
      </c>
    </row>
    <row r="42" spans="1:9" ht="24" customHeight="1">
      <c r="A42" s="292" t="s">
        <v>247</v>
      </c>
      <c r="B42" s="292"/>
      <c r="C42" s="7"/>
      <c r="D42" s="8"/>
      <c r="E42" s="9">
        <f>$I$41*H42</f>
        <v>0</v>
      </c>
      <c r="F42" s="9"/>
      <c r="G42" s="9"/>
      <c r="H42" s="10">
        <f t="shared" ref="H42:H49" si="6">H4</f>
        <v>7.9799999999999996E-2</v>
      </c>
    </row>
    <row r="43" spans="1:9" ht="24" customHeight="1">
      <c r="A43" s="292" t="s">
        <v>248</v>
      </c>
      <c r="B43" s="6" t="s">
        <v>249</v>
      </c>
      <c r="C43" s="7"/>
      <c r="D43" s="8"/>
      <c r="E43" s="9">
        <f t="shared" ref="E43:E49" si="7">$I$41*H43</f>
        <v>0</v>
      </c>
      <c r="F43" s="9"/>
      <c r="G43" s="9"/>
      <c r="H43" s="10">
        <f t="shared" si="6"/>
        <v>6.3299999999999995E-2</v>
      </c>
    </row>
    <row r="44" spans="1:9" ht="24" customHeight="1">
      <c r="A44" s="292"/>
      <c r="B44" s="6" t="s">
        <v>250</v>
      </c>
      <c r="C44" s="7"/>
      <c r="D44" s="8"/>
      <c r="E44" s="9">
        <f t="shared" si="7"/>
        <v>0</v>
      </c>
      <c r="F44" s="9"/>
      <c r="G44" s="9"/>
      <c r="H44" s="10">
        <f t="shared" si="6"/>
        <v>5.2500000000000005E-2</v>
      </c>
    </row>
    <row r="45" spans="1:9" ht="24" customHeight="1">
      <c r="A45" s="290" t="s">
        <v>251</v>
      </c>
      <c r="B45" s="291"/>
      <c r="C45" s="11"/>
      <c r="D45" s="12"/>
      <c r="E45" s="9">
        <f t="shared" si="7"/>
        <v>0</v>
      </c>
      <c r="F45" s="9"/>
      <c r="G45" s="9"/>
      <c r="H45" s="13">
        <f t="shared" si="6"/>
        <v>0.1956</v>
      </c>
    </row>
    <row r="46" spans="1:9" ht="24" customHeight="1">
      <c r="A46" s="292" t="s">
        <v>79</v>
      </c>
      <c r="B46" s="292"/>
      <c r="C46" s="7"/>
      <c r="D46" s="8"/>
      <c r="E46" s="9">
        <f t="shared" si="7"/>
        <v>0</v>
      </c>
      <c r="F46" s="9"/>
      <c r="G46" s="9"/>
      <c r="H46" s="10">
        <f t="shared" si="6"/>
        <v>4.8999999999999998E-3</v>
      </c>
    </row>
    <row r="47" spans="1:9" ht="24" customHeight="1">
      <c r="A47" s="293" t="s">
        <v>252</v>
      </c>
      <c r="B47" s="6" t="s">
        <v>249</v>
      </c>
      <c r="C47" s="7"/>
      <c r="D47" s="8"/>
      <c r="E47" s="9">
        <f t="shared" si="7"/>
        <v>0</v>
      </c>
      <c r="F47" s="9"/>
      <c r="G47" s="9"/>
      <c r="H47" s="10">
        <f t="shared" si="6"/>
        <v>0</v>
      </c>
    </row>
    <row r="48" spans="1:9" ht="24" customHeight="1">
      <c r="A48" s="294"/>
      <c r="B48" s="6" t="s">
        <v>250</v>
      </c>
      <c r="C48" s="7"/>
      <c r="D48" s="8"/>
      <c r="E48" s="9">
        <f t="shared" si="7"/>
        <v>0</v>
      </c>
      <c r="F48" s="9"/>
      <c r="G48" s="9"/>
      <c r="H48" s="10">
        <f t="shared" si="6"/>
        <v>2.3399999999999997E-2</v>
      </c>
    </row>
    <row r="49" spans="1:9" ht="24" customHeight="1">
      <c r="A49" s="292" t="s">
        <v>82</v>
      </c>
      <c r="B49" s="292"/>
      <c r="C49" s="7"/>
      <c r="D49" s="8"/>
      <c r="E49" s="9">
        <f t="shared" si="7"/>
        <v>0</v>
      </c>
      <c r="F49" s="9"/>
      <c r="G49" s="9"/>
      <c r="H49" s="10">
        <f t="shared" si="6"/>
        <v>3.7199999999999997E-2</v>
      </c>
    </row>
    <row r="52" spans="1:9" s="1" customFormat="1" ht="18.75" customHeight="1">
      <c r="G52" s="296" t="s">
        <v>238</v>
      </c>
      <c r="H52" s="296"/>
      <c r="I52" s="15">
        <f>销量!G6</f>
        <v>0</v>
      </c>
    </row>
    <row r="53" spans="1:9" ht="39" customHeight="1">
      <c r="A53" s="295" t="s">
        <v>239</v>
      </c>
      <c r="B53" s="295"/>
      <c r="C53" s="290" t="str">
        <f>C2</f>
        <v>河北工厂平均值</v>
      </c>
      <c r="D53" s="297"/>
      <c r="E53" s="297"/>
      <c r="F53" s="297"/>
      <c r="G53" s="297"/>
      <c r="H53" s="291"/>
      <c r="I53" s="3" t="s">
        <v>240</v>
      </c>
    </row>
    <row r="54" spans="1:9" ht="34.5" customHeight="1">
      <c r="A54" s="295"/>
      <c r="B54" s="295"/>
      <c r="C54" s="4" t="s">
        <v>241</v>
      </c>
      <c r="D54" s="4" t="s">
        <v>242</v>
      </c>
      <c r="E54" s="4" t="s">
        <v>243</v>
      </c>
      <c r="F54" s="5" t="s">
        <v>244</v>
      </c>
      <c r="G54" s="5" t="s">
        <v>245</v>
      </c>
      <c r="H54" s="5" t="s">
        <v>246</v>
      </c>
      <c r="I54" s="14">
        <f>销量!G8</f>
        <v>0</v>
      </c>
    </row>
    <row r="55" spans="1:9" ht="24" customHeight="1">
      <c r="A55" s="292" t="s">
        <v>247</v>
      </c>
      <c r="B55" s="292"/>
      <c r="C55" s="7"/>
      <c r="D55" s="8"/>
      <c r="E55" s="9">
        <f>$I$54*H55</f>
        <v>0</v>
      </c>
      <c r="F55" s="9"/>
      <c r="G55" s="9"/>
      <c r="H55" s="10">
        <f t="shared" ref="H55:H62" si="8">H4</f>
        <v>7.9799999999999996E-2</v>
      </c>
    </row>
    <row r="56" spans="1:9" ht="24" customHeight="1">
      <c r="A56" s="292" t="s">
        <v>248</v>
      </c>
      <c r="B56" s="6" t="s">
        <v>249</v>
      </c>
      <c r="C56" s="7"/>
      <c r="D56" s="8"/>
      <c r="E56" s="9">
        <f t="shared" ref="E56:E62" si="9">$I$54*H56</f>
        <v>0</v>
      </c>
      <c r="F56" s="9"/>
      <c r="G56" s="9"/>
      <c r="H56" s="10">
        <f t="shared" si="8"/>
        <v>6.3299999999999995E-2</v>
      </c>
    </row>
    <row r="57" spans="1:9" ht="24" customHeight="1">
      <c r="A57" s="292"/>
      <c r="B57" s="6" t="s">
        <v>250</v>
      </c>
      <c r="C57" s="7"/>
      <c r="D57" s="8"/>
      <c r="E57" s="9">
        <f t="shared" si="9"/>
        <v>0</v>
      </c>
      <c r="F57" s="9"/>
      <c r="G57" s="9"/>
      <c r="H57" s="10">
        <f t="shared" si="8"/>
        <v>5.2500000000000005E-2</v>
      </c>
    </row>
    <row r="58" spans="1:9" ht="24" customHeight="1">
      <c r="A58" s="290" t="s">
        <v>251</v>
      </c>
      <c r="B58" s="291"/>
      <c r="C58" s="11"/>
      <c r="D58" s="12"/>
      <c r="E58" s="9">
        <f t="shared" si="9"/>
        <v>0</v>
      </c>
      <c r="F58" s="9"/>
      <c r="G58" s="9"/>
      <c r="H58" s="13">
        <f t="shared" si="8"/>
        <v>0.1956</v>
      </c>
    </row>
    <row r="59" spans="1:9" ht="24" customHeight="1">
      <c r="A59" s="292" t="s">
        <v>79</v>
      </c>
      <c r="B59" s="292"/>
      <c r="C59" s="7"/>
      <c r="D59" s="8"/>
      <c r="E59" s="9">
        <f t="shared" si="9"/>
        <v>0</v>
      </c>
      <c r="F59" s="9"/>
      <c r="G59" s="9"/>
      <c r="H59" s="10">
        <f t="shared" si="8"/>
        <v>4.8999999999999998E-3</v>
      </c>
    </row>
    <row r="60" spans="1:9" ht="24" customHeight="1">
      <c r="A60" s="293" t="s">
        <v>252</v>
      </c>
      <c r="B60" s="6" t="s">
        <v>249</v>
      </c>
      <c r="C60" s="7"/>
      <c r="D60" s="8"/>
      <c r="E60" s="9">
        <f t="shared" si="9"/>
        <v>0</v>
      </c>
      <c r="F60" s="9"/>
      <c r="G60" s="9"/>
      <c r="H60" s="10">
        <f t="shared" si="8"/>
        <v>0</v>
      </c>
    </row>
    <row r="61" spans="1:9" ht="24" customHeight="1">
      <c r="A61" s="294"/>
      <c r="B61" s="6" t="s">
        <v>250</v>
      </c>
      <c r="C61" s="7"/>
      <c r="D61" s="8"/>
      <c r="E61" s="9">
        <f t="shared" si="9"/>
        <v>0</v>
      </c>
      <c r="F61" s="9"/>
      <c r="G61" s="9"/>
      <c r="H61" s="10">
        <f t="shared" si="8"/>
        <v>2.3399999999999997E-2</v>
      </c>
    </row>
    <row r="62" spans="1:9" ht="24" customHeight="1">
      <c r="A62" s="292" t="s">
        <v>82</v>
      </c>
      <c r="B62" s="292"/>
      <c r="C62" s="7"/>
      <c r="D62" s="8"/>
      <c r="E62" s="9">
        <f t="shared" si="9"/>
        <v>0</v>
      </c>
      <c r="F62" s="9"/>
      <c r="G62" s="9"/>
      <c r="H62" s="10">
        <f t="shared" si="8"/>
        <v>3.7199999999999997E-2</v>
      </c>
    </row>
    <row r="65" spans="1:9" ht="16.5">
      <c r="A65" s="1"/>
      <c r="B65" s="1"/>
      <c r="C65" s="1"/>
      <c r="D65" s="1"/>
      <c r="E65" s="1"/>
      <c r="F65" s="1"/>
      <c r="G65" s="296" t="s">
        <v>238</v>
      </c>
      <c r="H65" s="296"/>
      <c r="I65" s="15">
        <f>销量!H6</f>
        <v>0</v>
      </c>
    </row>
    <row r="66" spans="1:9">
      <c r="A66" s="295" t="s">
        <v>239</v>
      </c>
      <c r="B66" s="295"/>
      <c r="C66" s="290" t="str">
        <f t="shared" ref="C66" si="10">$C$2</f>
        <v>河北工厂平均值</v>
      </c>
      <c r="D66" s="297"/>
      <c r="E66" s="297"/>
      <c r="F66" s="297"/>
      <c r="G66" s="297"/>
      <c r="H66" s="291"/>
      <c r="I66" s="3" t="s">
        <v>240</v>
      </c>
    </row>
    <row r="67" spans="1:9" ht="27">
      <c r="A67" s="295"/>
      <c r="B67" s="295"/>
      <c r="C67" s="4" t="s">
        <v>241</v>
      </c>
      <c r="D67" s="4" t="s">
        <v>242</v>
      </c>
      <c r="E67" s="4" t="s">
        <v>243</v>
      </c>
      <c r="F67" s="5" t="s">
        <v>244</v>
      </c>
      <c r="G67" s="5" t="s">
        <v>245</v>
      </c>
      <c r="H67" s="5" t="s">
        <v>246</v>
      </c>
      <c r="I67" s="14">
        <f>销量!H8</f>
        <v>0</v>
      </c>
    </row>
    <row r="68" spans="1:9">
      <c r="A68" s="292" t="s">
        <v>247</v>
      </c>
      <c r="B68" s="292"/>
      <c r="C68" s="7"/>
      <c r="D68" s="8"/>
      <c r="E68" s="9">
        <f>$I$67*H68</f>
        <v>0</v>
      </c>
      <c r="F68" s="9"/>
      <c r="G68" s="9"/>
      <c r="H68" s="10">
        <f t="shared" ref="H68:H75" si="11">H55</f>
        <v>7.9799999999999996E-2</v>
      </c>
    </row>
    <row r="69" spans="1:9">
      <c r="A69" s="292" t="s">
        <v>248</v>
      </c>
      <c r="B69" s="191" t="s">
        <v>249</v>
      </c>
      <c r="C69" s="7"/>
      <c r="D69" s="8"/>
      <c r="E69" s="9">
        <f t="shared" ref="E69:E75" si="12">$I$67*H69</f>
        <v>0</v>
      </c>
      <c r="F69" s="9"/>
      <c r="G69" s="9"/>
      <c r="H69" s="10">
        <f t="shared" si="11"/>
        <v>6.3299999999999995E-2</v>
      </c>
    </row>
    <row r="70" spans="1:9">
      <c r="A70" s="292"/>
      <c r="B70" s="191" t="s">
        <v>250</v>
      </c>
      <c r="C70" s="7"/>
      <c r="D70" s="8"/>
      <c r="E70" s="9">
        <f t="shared" si="12"/>
        <v>0</v>
      </c>
      <c r="F70" s="9"/>
      <c r="G70" s="9"/>
      <c r="H70" s="10">
        <f t="shared" si="11"/>
        <v>5.2500000000000005E-2</v>
      </c>
    </row>
    <row r="71" spans="1:9">
      <c r="A71" s="290" t="s">
        <v>251</v>
      </c>
      <c r="B71" s="291"/>
      <c r="C71" s="11"/>
      <c r="D71" s="12"/>
      <c r="E71" s="9">
        <f t="shared" si="12"/>
        <v>0</v>
      </c>
      <c r="F71" s="9"/>
      <c r="G71" s="9"/>
      <c r="H71" s="13">
        <f t="shared" si="11"/>
        <v>0.1956</v>
      </c>
    </row>
    <row r="72" spans="1:9">
      <c r="A72" s="292" t="s">
        <v>79</v>
      </c>
      <c r="B72" s="292"/>
      <c r="C72" s="7"/>
      <c r="D72" s="8"/>
      <c r="E72" s="9">
        <f t="shared" si="12"/>
        <v>0</v>
      </c>
      <c r="F72" s="9"/>
      <c r="G72" s="9"/>
      <c r="H72" s="10">
        <f t="shared" si="11"/>
        <v>4.8999999999999998E-3</v>
      </c>
    </row>
    <row r="73" spans="1:9">
      <c r="A73" s="293" t="s">
        <v>252</v>
      </c>
      <c r="B73" s="191" t="s">
        <v>249</v>
      </c>
      <c r="C73" s="7"/>
      <c r="D73" s="8"/>
      <c r="E73" s="9">
        <f t="shared" si="12"/>
        <v>0</v>
      </c>
      <c r="F73" s="9"/>
      <c r="G73" s="9"/>
      <c r="H73" s="10">
        <f t="shared" si="11"/>
        <v>0</v>
      </c>
    </row>
    <row r="74" spans="1:9">
      <c r="A74" s="294"/>
      <c r="B74" s="191" t="s">
        <v>250</v>
      </c>
      <c r="C74" s="7"/>
      <c r="D74" s="8"/>
      <c r="E74" s="9">
        <f t="shared" si="12"/>
        <v>0</v>
      </c>
      <c r="F74" s="9"/>
      <c r="G74" s="9"/>
      <c r="H74" s="10">
        <f t="shared" si="11"/>
        <v>2.3399999999999997E-2</v>
      </c>
    </row>
    <row r="75" spans="1:9">
      <c r="A75" s="292" t="s">
        <v>82</v>
      </c>
      <c r="B75" s="292"/>
      <c r="C75" s="7"/>
      <c r="D75" s="8"/>
      <c r="E75" s="9">
        <f t="shared" si="12"/>
        <v>0</v>
      </c>
      <c r="F75" s="9"/>
      <c r="G75" s="9"/>
      <c r="H75" s="10">
        <f t="shared" si="11"/>
        <v>3.7199999999999997E-2</v>
      </c>
    </row>
    <row r="78" spans="1:9" ht="16.5">
      <c r="A78" s="1"/>
      <c r="B78" s="1"/>
      <c r="C78" s="1"/>
      <c r="D78" s="1"/>
      <c r="E78" s="1"/>
      <c r="F78" s="1"/>
      <c r="G78" s="296" t="s">
        <v>238</v>
      </c>
      <c r="H78" s="296"/>
      <c r="I78" s="15">
        <f>销量!I6</f>
        <v>0</v>
      </c>
    </row>
    <row r="79" spans="1:9">
      <c r="A79" s="295" t="s">
        <v>239</v>
      </c>
      <c r="B79" s="295"/>
      <c r="C79" s="290" t="str">
        <f t="shared" ref="C79" si="13">$C$2</f>
        <v>河北工厂平均值</v>
      </c>
      <c r="D79" s="297"/>
      <c r="E79" s="297"/>
      <c r="F79" s="297"/>
      <c r="G79" s="297"/>
      <c r="H79" s="291"/>
      <c r="I79" s="3" t="s">
        <v>240</v>
      </c>
    </row>
    <row r="80" spans="1:9" ht="27">
      <c r="A80" s="295"/>
      <c r="B80" s="295"/>
      <c r="C80" s="4" t="s">
        <v>241</v>
      </c>
      <c r="D80" s="4" t="s">
        <v>242</v>
      </c>
      <c r="E80" s="4" t="s">
        <v>243</v>
      </c>
      <c r="F80" s="5" t="s">
        <v>244</v>
      </c>
      <c r="G80" s="5" t="s">
        <v>245</v>
      </c>
      <c r="H80" s="5" t="s">
        <v>246</v>
      </c>
      <c r="I80" s="14">
        <f>销量!I8</f>
        <v>0</v>
      </c>
    </row>
    <row r="81" spans="1:9">
      <c r="A81" s="292" t="s">
        <v>247</v>
      </c>
      <c r="B81" s="292"/>
      <c r="C81" s="7"/>
      <c r="D81" s="8"/>
      <c r="E81" s="9">
        <f>$I$80*H81</f>
        <v>0</v>
      </c>
      <c r="F81" s="9"/>
      <c r="G81" s="9"/>
      <c r="H81" s="10">
        <f t="shared" ref="H81:H88" si="14">H68</f>
        <v>7.9799999999999996E-2</v>
      </c>
    </row>
    <row r="82" spans="1:9">
      <c r="A82" s="292" t="s">
        <v>248</v>
      </c>
      <c r="B82" s="191" t="s">
        <v>249</v>
      </c>
      <c r="C82" s="7"/>
      <c r="D82" s="8"/>
      <c r="E82" s="9">
        <f t="shared" ref="E82:E88" si="15">$I$80*H82</f>
        <v>0</v>
      </c>
      <c r="F82" s="9"/>
      <c r="G82" s="9"/>
      <c r="H82" s="10">
        <f t="shared" si="14"/>
        <v>6.3299999999999995E-2</v>
      </c>
    </row>
    <row r="83" spans="1:9">
      <c r="A83" s="292"/>
      <c r="B83" s="191" t="s">
        <v>250</v>
      </c>
      <c r="C83" s="7"/>
      <c r="D83" s="8"/>
      <c r="E83" s="9">
        <f t="shared" si="15"/>
        <v>0</v>
      </c>
      <c r="F83" s="9"/>
      <c r="G83" s="9"/>
      <c r="H83" s="10">
        <f t="shared" si="14"/>
        <v>5.2500000000000005E-2</v>
      </c>
    </row>
    <row r="84" spans="1:9">
      <c r="A84" s="290" t="s">
        <v>251</v>
      </c>
      <c r="B84" s="291"/>
      <c r="C84" s="11"/>
      <c r="D84" s="12"/>
      <c r="E84" s="9">
        <f t="shared" si="15"/>
        <v>0</v>
      </c>
      <c r="F84" s="9"/>
      <c r="G84" s="9"/>
      <c r="H84" s="13">
        <f t="shared" si="14"/>
        <v>0.1956</v>
      </c>
    </row>
    <row r="85" spans="1:9">
      <c r="A85" s="292" t="s">
        <v>79</v>
      </c>
      <c r="B85" s="292"/>
      <c r="C85" s="7"/>
      <c r="D85" s="8"/>
      <c r="E85" s="9">
        <f t="shared" si="15"/>
        <v>0</v>
      </c>
      <c r="F85" s="9"/>
      <c r="G85" s="9"/>
      <c r="H85" s="10">
        <f t="shared" si="14"/>
        <v>4.8999999999999998E-3</v>
      </c>
    </row>
    <row r="86" spans="1:9">
      <c r="A86" s="293" t="s">
        <v>252</v>
      </c>
      <c r="B86" s="191" t="s">
        <v>249</v>
      </c>
      <c r="C86" s="7"/>
      <c r="D86" s="8"/>
      <c r="E86" s="9">
        <f t="shared" si="15"/>
        <v>0</v>
      </c>
      <c r="F86" s="9"/>
      <c r="G86" s="9"/>
      <c r="H86" s="10">
        <f t="shared" si="14"/>
        <v>0</v>
      </c>
    </row>
    <row r="87" spans="1:9">
      <c r="A87" s="294"/>
      <c r="B87" s="191" t="s">
        <v>250</v>
      </c>
      <c r="C87" s="7"/>
      <c r="D87" s="8"/>
      <c r="E87" s="9">
        <f t="shared" si="15"/>
        <v>0</v>
      </c>
      <c r="F87" s="9"/>
      <c r="G87" s="9"/>
      <c r="H87" s="10">
        <f t="shared" si="14"/>
        <v>2.3399999999999997E-2</v>
      </c>
    </row>
    <row r="88" spans="1:9">
      <c r="A88" s="292" t="s">
        <v>82</v>
      </c>
      <c r="B88" s="292"/>
      <c r="C88" s="7"/>
      <c r="D88" s="8"/>
      <c r="E88" s="9">
        <f t="shared" si="15"/>
        <v>0</v>
      </c>
      <c r="F88" s="9"/>
      <c r="G88" s="9"/>
      <c r="H88" s="10">
        <f t="shared" si="14"/>
        <v>3.7199999999999997E-2</v>
      </c>
    </row>
    <row r="91" spans="1:9" ht="16.5">
      <c r="A91" s="1"/>
      <c r="B91" s="1"/>
      <c r="C91" s="1"/>
      <c r="D91" s="1"/>
      <c r="E91" s="1"/>
      <c r="F91" s="1"/>
      <c r="G91" s="296" t="s">
        <v>238</v>
      </c>
      <c r="H91" s="296"/>
      <c r="I91" s="15">
        <f>销量!J6</f>
        <v>0</v>
      </c>
    </row>
    <row r="92" spans="1:9">
      <c r="A92" s="295" t="s">
        <v>239</v>
      </c>
      <c r="B92" s="295"/>
      <c r="C92" s="290" t="str">
        <f t="shared" ref="C92" si="16">$C$2</f>
        <v>河北工厂平均值</v>
      </c>
      <c r="D92" s="297"/>
      <c r="E92" s="297"/>
      <c r="F92" s="297"/>
      <c r="G92" s="297"/>
      <c r="H92" s="291"/>
      <c r="I92" s="3" t="s">
        <v>240</v>
      </c>
    </row>
    <row r="93" spans="1:9" ht="27">
      <c r="A93" s="295"/>
      <c r="B93" s="295"/>
      <c r="C93" s="4" t="s">
        <v>241</v>
      </c>
      <c r="D93" s="4" t="s">
        <v>242</v>
      </c>
      <c r="E93" s="4" t="s">
        <v>243</v>
      </c>
      <c r="F93" s="5" t="s">
        <v>244</v>
      </c>
      <c r="G93" s="5" t="s">
        <v>245</v>
      </c>
      <c r="H93" s="5" t="s">
        <v>246</v>
      </c>
      <c r="I93" s="14">
        <f>销量!J8</f>
        <v>0</v>
      </c>
    </row>
    <row r="94" spans="1:9">
      <c r="A94" s="292" t="s">
        <v>247</v>
      </c>
      <c r="B94" s="292"/>
      <c r="C94" s="7"/>
      <c r="D94" s="8"/>
      <c r="E94" s="9">
        <f>$I$93*H94</f>
        <v>0</v>
      </c>
      <c r="F94" s="9"/>
      <c r="G94" s="9"/>
      <c r="H94" s="10">
        <f t="shared" ref="H94:H101" si="17">H81</f>
        <v>7.9799999999999996E-2</v>
      </c>
    </row>
    <row r="95" spans="1:9">
      <c r="A95" s="292" t="s">
        <v>248</v>
      </c>
      <c r="B95" s="191" t="s">
        <v>249</v>
      </c>
      <c r="C95" s="7"/>
      <c r="D95" s="8"/>
      <c r="E95" s="9">
        <f t="shared" ref="E95:E101" si="18">$I$93*H95</f>
        <v>0</v>
      </c>
      <c r="F95" s="9"/>
      <c r="G95" s="9"/>
      <c r="H95" s="10">
        <f t="shared" si="17"/>
        <v>6.3299999999999995E-2</v>
      </c>
    </row>
    <row r="96" spans="1:9">
      <c r="A96" s="292"/>
      <c r="B96" s="191" t="s">
        <v>250</v>
      </c>
      <c r="C96" s="7"/>
      <c r="D96" s="8"/>
      <c r="E96" s="9">
        <f t="shared" si="18"/>
        <v>0</v>
      </c>
      <c r="F96" s="9"/>
      <c r="G96" s="9"/>
      <c r="H96" s="10">
        <f t="shared" si="17"/>
        <v>5.2500000000000005E-2</v>
      </c>
    </row>
    <row r="97" spans="1:9">
      <c r="A97" s="290" t="s">
        <v>251</v>
      </c>
      <c r="B97" s="291"/>
      <c r="C97" s="11"/>
      <c r="D97" s="12"/>
      <c r="E97" s="9">
        <f t="shared" si="18"/>
        <v>0</v>
      </c>
      <c r="F97" s="9"/>
      <c r="G97" s="9"/>
      <c r="H97" s="13">
        <f t="shared" si="17"/>
        <v>0.1956</v>
      </c>
    </row>
    <row r="98" spans="1:9">
      <c r="A98" s="292" t="s">
        <v>79</v>
      </c>
      <c r="B98" s="292"/>
      <c r="C98" s="7"/>
      <c r="D98" s="8"/>
      <c r="E98" s="9">
        <f t="shared" si="18"/>
        <v>0</v>
      </c>
      <c r="F98" s="9"/>
      <c r="G98" s="9"/>
      <c r="H98" s="10">
        <f t="shared" si="17"/>
        <v>4.8999999999999998E-3</v>
      </c>
    </row>
    <row r="99" spans="1:9">
      <c r="A99" s="293" t="s">
        <v>252</v>
      </c>
      <c r="B99" s="191" t="s">
        <v>249</v>
      </c>
      <c r="C99" s="7"/>
      <c r="D99" s="8"/>
      <c r="E99" s="9">
        <f t="shared" si="18"/>
        <v>0</v>
      </c>
      <c r="F99" s="9"/>
      <c r="G99" s="9"/>
      <c r="H99" s="10">
        <f t="shared" si="17"/>
        <v>0</v>
      </c>
    </row>
    <row r="100" spans="1:9">
      <c r="A100" s="294"/>
      <c r="B100" s="191" t="s">
        <v>250</v>
      </c>
      <c r="C100" s="7"/>
      <c r="D100" s="8"/>
      <c r="E100" s="9">
        <f t="shared" si="18"/>
        <v>0</v>
      </c>
      <c r="F100" s="9"/>
      <c r="G100" s="9"/>
      <c r="H100" s="10">
        <f t="shared" si="17"/>
        <v>2.3399999999999997E-2</v>
      </c>
    </row>
    <row r="101" spans="1:9">
      <c r="A101" s="292" t="s">
        <v>82</v>
      </c>
      <c r="B101" s="292"/>
      <c r="C101" s="7"/>
      <c r="D101" s="8"/>
      <c r="E101" s="9">
        <f t="shared" si="18"/>
        <v>0</v>
      </c>
      <c r="F101" s="9"/>
      <c r="G101" s="9"/>
      <c r="H101" s="10">
        <f t="shared" si="17"/>
        <v>3.7199999999999997E-2</v>
      </c>
    </row>
    <row r="104" spans="1:9" ht="16.5">
      <c r="A104" s="1"/>
      <c r="B104" s="1"/>
      <c r="C104" s="1"/>
      <c r="D104" s="1"/>
      <c r="E104" s="1"/>
      <c r="F104" s="1"/>
      <c r="G104" s="296" t="s">
        <v>238</v>
      </c>
      <c r="H104" s="296"/>
      <c r="I104" s="15">
        <f>销量!K6</f>
        <v>0</v>
      </c>
    </row>
    <row r="105" spans="1:9">
      <c r="A105" s="295" t="s">
        <v>239</v>
      </c>
      <c r="B105" s="295"/>
      <c r="C105" s="290" t="str">
        <f t="shared" ref="C105" si="19">$C$2</f>
        <v>河北工厂平均值</v>
      </c>
      <c r="D105" s="297"/>
      <c r="E105" s="297"/>
      <c r="F105" s="297"/>
      <c r="G105" s="297"/>
      <c r="H105" s="291"/>
      <c r="I105" s="3" t="s">
        <v>240</v>
      </c>
    </row>
    <row r="106" spans="1:9" ht="27">
      <c r="A106" s="295"/>
      <c r="B106" s="295"/>
      <c r="C106" s="4" t="s">
        <v>241</v>
      </c>
      <c r="D106" s="4" t="s">
        <v>242</v>
      </c>
      <c r="E106" s="4" t="s">
        <v>243</v>
      </c>
      <c r="F106" s="5" t="s">
        <v>244</v>
      </c>
      <c r="G106" s="5" t="s">
        <v>245</v>
      </c>
      <c r="H106" s="5" t="s">
        <v>246</v>
      </c>
      <c r="I106" s="14">
        <f>销量!K8</f>
        <v>0</v>
      </c>
    </row>
    <row r="107" spans="1:9">
      <c r="A107" s="292" t="s">
        <v>247</v>
      </c>
      <c r="B107" s="292"/>
      <c r="C107" s="7"/>
      <c r="D107" s="8"/>
      <c r="E107" s="9">
        <f>$I$106*H107</f>
        <v>0</v>
      </c>
      <c r="F107" s="9"/>
      <c r="G107" s="9"/>
      <c r="H107" s="10">
        <f t="shared" ref="H107:H114" si="20">H94</f>
        <v>7.9799999999999996E-2</v>
      </c>
    </row>
    <row r="108" spans="1:9">
      <c r="A108" s="292" t="s">
        <v>248</v>
      </c>
      <c r="B108" s="191" t="s">
        <v>249</v>
      </c>
      <c r="C108" s="7"/>
      <c r="D108" s="8"/>
      <c r="E108" s="9">
        <f t="shared" ref="E108:E114" si="21">$I$106*H108</f>
        <v>0</v>
      </c>
      <c r="F108" s="9"/>
      <c r="G108" s="9"/>
      <c r="H108" s="10">
        <f t="shared" si="20"/>
        <v>6.3299999999999995E-2</v>
      </c>
    </row>
    <row r="109" spans="1:9">
      <c r="A109" s="292"/>
      <c r="B109" s="191" t="s">
        <v>250</v>
      </c>
      <c r="C109" s="7"/>
      <c r="D109" s="8"/>
      <c r="E109" s="9">
        <f t="shared" si="21"/>
        <v>0</v>
      </c>
      <c r="F109" s="9"/>
      <c r="G109" s="9"/>
      <c r="H109" s="10">
        <f t="shared" si="20"/>
        <v>5.2500000000000005E-2</v>
      </c>
    </row>
    <row r="110" spans="1:9">
      <c r="A110" s="290" t="s">
        <v>251</v>
      </c>
      <c r="B110" s="291"/>
      <c r="C110" s="11"/>
      <c r="D110" s="12"/>
      <c r="E110" s="9">
        <f t="shared" si="21"/>
        <v>0</v>
      </c>
      <c r="F110" s="9"/>
      <c r="G110" s="9"/>
      <c r="H110" s="13">
        <f t="shared" si="20"/>
        <v>0.1956</v>
      </c>
    </row>
    <row r="111" spans="1:9">
      <c r="A111" s="292" t="s">
        <v>79</v>
      </c>
      <c r="B111" s="292"/>
      <c r="C111" s="7"/>
      <c r="D111" s="8"/>
      <c r="E111" s="9">
        <f t="shared" si="21"/>
        <v>0</v>
      </c>
      <c r="F111" s="9"/>
      <c r="G111" s="9"/>
      <c r="H111" s="10">
        <f t="shared" si="20"/>
        <v>4.8999999999999998E-3</v>
      </c>
    </row>
    <row r="112" spans="1:9">
      <c r="A112" s="293" t="s">
        <v>252</v>
      </c>
      <c r="B112" s="191" t="s">
        <v>249</v>
      </c>
      <c r="C112" s="7"/>
      <c r="D112" s="8"/>
      <c r="E112" s="9">
        <f t="shared" si="21"/>
        <v>0</v>
      </c>
      <c r="F112" s="9"/>
      <c r="G112" s="9"/>
      <c r="H112" s="10">
        <f t="shared" si="20"/>
        <v>0</v>
      </c>
    </row>
    <row r="113" spans="1:9">
      <c r="A113" s="294"/>
      <c r="B113" s="191" t="s">
        <v>250</v>
      </c>
      <c r="C113" s="7"/>
      <c r="D113" s="8"/>
      <c r="E113" s="9">
        <f t="shared" si="21"/>
        <v>0</v>
      </c>
      <c r="F113" s="9"/>
      <c r="G113" s="9"/>
      <c r="H113" s="10">
        <f t="shared" si="20"/>
        <v>2.3399999999999997E-2</v>
      </c>
    </row>
    <row r="114" spans="1:9">
      <c r="A114" s="292" t="s">
        <v>82</v>
      </c>
      <c r="B114" s="292"/>
      <c r="C114" s="7"/>
      <c r="D114" s="8"/>
      <c r="E114" s="9">
        <f t="shared" si="21"/>
        <v>0</v>
      </c>
      <c r="F114" s="9"/>
      <c r="G114" s="9"/>
      <c r="H114" s="10">
        <f t="shared" si="20"/>
        <v>3.7199999999999997E-2</v>
      </c>
    </row>
    <row r="117" spans="1:9" ht="16.5">
      <c r="A117" s="1"/>
      <c r="B117" s="1"/>
      <c r="C117" s="1"/>
      <c r="D117" s="1"/>
      <c r="E117" s="1"/>
      <c r="F117" s="1"/>
      <c r="G117" s="296" t="s">
        <v>238</v>
      </c>
      <c r="H117" s="296"/>
      <c r="I117" s="15">
        <f>销量!L6</f>
        <v>0</v>
      </c>
    </row>
    <row r="118" spans="1:9">
      <c r="A118" s="295" t="s">
        <v>239</v>
      </c>
      <c r="B118" s="295"/>
      <c r="C118" s="290" t="str">
        <f t="shared" ref="C118" si="22">$C$2</f>
        <v>河北工厂平均值</v>
      </c>
      <c r="D118" s="297"/>
      <c r="E118" s="297"/>
      <c r="F118" s="297"/>
      <c r="G118" s="297"/>
      <c r="H118" s="291"/>
      <c r="I118" s="3" t="s">
        <v>240</v>
      </c>
    </row>
    <row r="119" spans="1:9" ht="27">
      <c r="A119" s="295"/>
      <c r="B119" s="295"/>
      <c r="C119" s="4" t="s">
        <v>241</v>
      </c>
      <c r="D119" s="4" t="s">
        <v>242</v>
      </c>
      <c r="E119" s="4" t="s">
        <v>243</v>
      </c>
      <c r="F119" s="5" t="s">
        <v>244</v>
      </c>
      <c r="G119" s="5" t="s">
        <v>245</v>
      </c>
      <c r="H119" s="5" t="s">
        <v>246</v>
      </c>
      <c r="I119" s="14">
        <f>销量!L8</f>
        <v>0</v>
      </c>
    </row>
    <row r="120" spans="1:9">
      <c r="A120" s="292" t="s">
        <v>247</v>
      </c>
      <c r="B120" s="292"/>
      <c r="C120" s="7"/>
      <c r="D120" s="8"/>
      <c r="E120" s="9">
        <f>$I$119*H120</f>
        <v>0</v>
      </c>
      <c r="F120" s="9"/>
      <c r="G120" s="9"/>
      <c r="H120" s="10">
        <f t="shared" ref="H120:H127" si="23">H107</f>
        <v>7.9799999999999996E-2</v>
      </c>
    </row>
    <row r="121" spans="1:9">
      <c r="A121" s="292" t="s">
        <v>248</v>
      </c>
      <c r="B121" s="191" t="s">
        <v>249</v>
      </c>
      <c r="C121" s="7"/>
      <c r="D121" s="8"/>
      <c r="E121" s="9">
        <f t="shared" ref="E121:E127" si="24">$I$119*H121</f>
        <v>0</v>
      </c>
      <c r="F121" s="9"/>
      <c r="G121" s="9"/>
      <c r="H121" s="10">
        <f t="shared" si="23"/>
        <v>6.3299999999999995E-2</v>
      </c>
    </row>
    <row r="122" spans="1:9">
      <c r="A122" s="292"/>
      <c r="B122" s="191" t="s">
        <v>250</v>
      </c>
      <c r="C122" s="7"/>
      <c r="D122" s="8"/>
      <c r="E122" s="9">
        <f t="shared" si="24"/>
        <v>0</v>
      </c>
      <c r="F122" s="9"/>
      <c r="G122" s="9"/>
      <c r="H122" s="10">
        <f t="shared" si="23"/>
        <v>5.2500000000000005E-2</v>
      </c>
    </row>
    <row r="123" spans="1:9">
      <c r="A123" s="290" t="s">
        <v>251</v>
      </c>
      <c r="B123" s="291"/>
      <c r="C123" s="11"/>
      <c r="D123" s="12"/>
      <c r="E123" s="9">
        <f t="shared" si="24"/>
        <v>0</v>
      </c>
      <c r="F123" s="9"/>
      <c r="G123" s="9"/>
      <c r="H123" s="13">
        <f t="shared" si="23"/>
        <v>0.1956</v>
      </c>
    </row>
    <row r="124" spans="1:9">
      <c r="A124" s="292" t="s">
        <v>79</v>
      </c>
      <c r="B124" s="292"/>
      <c r="C124" s="7"/>
      <c r="D124" s="8"/>
      <c r="E124" s="9">
        <f t="shared" si="24"/>
        <v>0</v>
      </c>
      <c r="F124" s="9"/>
      <c r="G124" s="9"/>
      <c r="H124" s="10">
        <f t="shared" si="23"/>
        <v>4.8999999999999998E-3</v>
      </c>
    </row>
    <row r="125" spans="1:9">
      <c r="A125" s="293" t="s">
        <v>252</v>
      </c>
      <c r="B125" s="191" t="s">
        <v>249</v>
      </c>
      <c r="C125" s="7"/>
      <c r="D125" s="8"/>
      <c r="E125" s="9">
        <f t="shared" si="24"/>
        <v>0</v>
      </c>
      <c r="F125" s="9"/>
      <c r="G125" s="9"/>
      <c r="H125" s="10">
        <f t="shared" si="23"/>
        <v>0</v>
      </c>
    </row>
    <row r="126" spans="1:9">
      <c r="A126" s="294"/>
      <c r="B126" s="191" t="s">
        <v>250</v>
      </c>
      <c r="C126" s="7"/>
      <c r="D126" s="8"/>
      <c r="E126" s="9">
        <f t="shared" si="24"/>
        <v>0</v>
      </c>
      <c r="F126" s="9"/>
      <c r="G126" s="9"/>
      <c r="H126" s="10">
        <f t="shared" si="23"/>
        <v>2.3399999999999997E-2</v>
      </c>
    </row>
    <row r="127" spans="1:9">
      <c r="A127" s="292" t="s">
        <v>82</v>
      </c>
      <c r="B127" s="292"/>
      <c r="C127" s="7"/>
      <c r="D127" s="8"/>
      <c r="E127" s="9">
        <f t="shared" si="24"/>
        <v>0</v>
      </c>
      <c r="F127" s="9"/>
      <c r="G127" s="9"/>
      <c r="H127" s="10">
        <f t="shared" si="23"/>
        <v>3.7199999999999997E-2</v>
      </c>
    </row>
    <row r="130" spans="1:9" ht="16.5">
      <c r="A130" s="1"/>
      <c r="B130" s="1"/>
      <c r="C130" s="1"/>
      <c r="D130" s="1"/>
      <c r="E130" s="1"/>
      <c r="F130" s="1"/>
      <c r="G130" s="296" t="s">
        <v>238</v>
      </c>
      <c r="H130" s="296"/>
      <c r="I130" s="15">
        <f>销量!M6</f>
        <v>0</v>
      </c>
    </row>
    <row r="131" spans="1:9">
      <c r="A131" s="295" t="s">
        <v>239</v>
      </c>
      <c r="B131" s="295"/>
      <c r="C131" s="290" t="str">
        <f t="shared" ref="C131" si="25">$C$2</f>
        <v>河北工厂平均值</v>
      </c>
      <c r="D131" s="297"/>
      <c r="E131" s="297"/>
      <c r="F131" s="297"/>
      <c r="G131" s="297"/>
      <c r="H131" s="291"/>
      <c r="I131" s="3" t="s">
        <v>240</v>
      </c>
    </row>
    <row r="132" spans="1:9" ht="27">
      <c r="A132" s="295"/>
      <c r="B132" s="295"/>
      <c r="C132" s="4" t="s">
        <v>241</v>
      </c>
      <c r="D132" s="4" t="s">
        <v>242</v>
      </c>
      <c r="E132" s="4" t="s">
        <v>243</v>
      </c>
      <c r="F132" s="5" t="s">
        <v>244</v>
      </c>
      <c r="G132" s="5" t="s">
        <v>245</v>
      </c>
      <c r="H132" s="5" t="s">
        <v>246</v>
      </c>
      <c r="I132" s="14">
        <f>销量!M8</f>
        <v>0</v>
      </c>
    </row>
    <row r="133" spans="1:9">
      <c r="A133" s="292" t="s">
        <v>247</v>
      </c>
      <c r="B133" s="292"/>
      <c r="C133" s="7"/>
      <c r="D133" s="8"/>
      <c r="E133" s="9">
        <f>$I$132*H133</f>
        <v>0</v>
      </c>
      <c r="F133" s="9"/>
      <c r="G133" s="9"/>
      <c r="H133" s="10">
        <f t="shared" ref="H133:H140" si="26">H120</f>
        <v>7.9799999999999996E-2</v>
      </c>
    </row>
    <row r="134" spans="1:9">
      <c r="A134" s="292" t="s">
        <v>248</v>
      </c>
      <c r="B134" s="191" t="s">
        <v>249</v>
      </c>
      <c r="C134" s="7"/>
      <c r="D134" s="8"/>
      <c r="E134" s="9">
        <f t="shared" ref="E134:E140" si="27">$I$132*H134</f>
        <v>0</v>
      </c>
      <c r="F134" s="9"/>
      <c r="G134" s="9"/>
      <c r="H134" s="10">
        <f t="shared" si="26"/>
        <v>6.3299999999999995E-2</v>
      </c>
    </row>
    <row r="135" spans="1:9">
      <c r="A135" s="292"/>
      <c r="B135" s="191" t="s">
        <v>250</v>
      </c>
      <c r="C135" s="7"/>
      <c r="D135" s="8"/>
      <c r="E135" s="9">
        <f t="shared" si="27"/>
        <v>0</v>
      </c>
      <c r="F135" s="9"/>
      <c r="G135" s="9"/>
      <c r="H135" s="10">
        <f t="shared" si="26"/>
        <v>5.2500000000000005E-2</v>
      </c>
    </row>
    <row r="136" spans="1:9">
      <c r="A136" s="290" t="s">
        <v>251</v>
      </c>
      <c r="B136" s="291"/>
      <c r="C136" s="11"/>
      <c r="D136" s="12"/>
      <c r="E136" s="9">
        <f t="shared" si="27"/>
        <v>0</v>
      </c>
      <c r="F136" s="9"/>
      <c r="G136" s="9"/>
      <c r="H136" s="13">
        <f t="shared" si="26"/>
        <v>0.1956</v>
      </c>
    </row>
    <row r="137" spans="1:9">
      <c r="A137" s="292" t="s">
        <v>79</v>
      </c>
      <c r="B137" s="292"/>
      <c r="C137" s="7"/>
      <c r="D137" s="8"/>
      <c r="E137" s="9">
        <f t="shared" si="27"/>
        <v>0</v>
      </c>
      <c r="F137" s="9"/>
      <c r="G137" s="9"/>
      <c r="H137" s="10">
        <f t="shared" si="26"/>
        <v>4.8999999999999998E-3</v>
      </c>
    </row>
    <row r="138" spans="1:9">
      <c r="A138" s="293" t="s">
        <v>252</v>
      </c>
      <c r="B138" s="191" t="s">
        <v>249</v>
      </c>
      <c r="C138" s="7"/>
      <c r="D138" s="8"/>
      <c r="E138" s="9">
        <f t="shared" si="27"/>
        <v>0</v>
      </c>
      <c r="F138" s="9"/>
      <c r="G138" s="9"/>
      <c r="H138" s="10">
        <f t="shared" si="26"/>
        <v>0</v>
      </c>
    </row>
    <row r="139" spans="1:9">
      <c r="A139" s="294"/>
      <c r="B139" s="191" t="s">
        <v>250</v>
      </c>
      <c r="C139" s="7"/>
      <c r="D139" s="8"/>
      <c r="E139" s="9">
        <f t="shared" si="27"/>
        <v>0</v>
      </c>
      <c r="F139" s="9"/>
      <c r="G139" s="9"/>
      <c r="H139" s="10">
        <f t="shared" si="26"/>
        <v>2.3399999999999997E-2</v>
      </c>
    </row>
    <row r="140" spans="1:9">
      <c r="A140" s="292" t="s">
        <v>82</v>
      </c>
      <c r="B140" s="292"/>
      <c r="C140" s="7"/>
      <c r="D140" s="8"/>
      <c r="E140" s="9">
        <f t="shared" si="27"/>
        <v>0</v>
      </c>
      <c r="F140" s="9"/>
      <c r="G140" s="9"/>
      <c r="H140" s="10">
        <f t="shared" si="26"/>
        <v>3.7199999999999997E-2</v>
      </c>
    </row>
    <row r="143" spans="1:9" ht="16.5">
      <c r="A143" s="1"/>
      <c r="B143" s="1"/>
      <c r="C143" s="1"/>
      <c r="D143" s="1"/>
      <c r="E143" s="1"/>
      <c r="F143" s="1"/>
      <c r="G143" s="296" t="s">
        <v>238</v>
      </c>
      <c r="H143" s="296"/>
      <c r="I143" s="15">
        <f>销量!N6</f>
        <v>0</v>
      </c>
    </row>
    <row r="144" spans="1:9">
      <c r="A144" s="295" t="s">
        <v>239</v>
      </c>
      <c r="B144" s="295"/>
      <c r="C144" s="290" t="str">
        <f t="shared" ref="C144" si="28">$C$2</f>
        <v>河北工厂平均值</v>
      </c>
      <c r="D144" s="297"/>
      <c r="E144" s="297"/>
      <c r="F144" s="297"/>
      <c r="G144" s="297"/>
      <c r="H144" s="291"/>
      <c r="I144" s="3" t="s">
        <v>240</v>
      </c>
    </row>
    <row r="145" spans="1:9" ht="27">
      <c r="A145" s="295"/>
      <c r="B145" s="295"/>
      <c r="C145" s="4" t="s">
        <v>241</v>
      </c>
      <c r="D145" s="4" t="s">
        <v>242</v>
      </c>
      <c r="E145" s="4" t="s">
        <v>243</v>
      </c>
      <c r="F145" s="5" t="s">
        <v>244</v>
      </c>
      <c r="G145" s="5" t="s">
        <v>245</v>
      </c>
      <c r="H145" s="5" t="s">
        <v>246</v>
      </c>
      <c r="I145" s="14">
        <f>销量!N8</f>
        <v>0</v>
      </c>
    </row>
    <row r="146" spans="1:9">
      <c r="A146" s="292" t="s">
        <v>247</v>
      </c>
      <c r="B146" s="292"/>
      <c r="C146" s="7"/>
      <c r="D146" s="8"/>
      <c r="E146" s="9">
        <f>$I$145*H146</f>
        <v>0</v>
      </c>
      <c r="F146" s="9"/>
      <c r="G146" s="9"/>
      <c r="H146" s="10">
        <f t="shared" ref="H146:H153" si="29">H133</f>
        <v>7.9799999999999996E-2</v>
      </c>
    </row>
    <row r="147" spans="1:9">
      <c r="A147" s="292" t="s">
        <v>248</v>
      </c>
      <c r="B147" s="191" t="s">
        <v>249</v>
      </c>
      <c r="C147" s="7"/>
      <c r="D147" s="8"/>
      <c r="E147" s="9">
        <f t="shared" ref="E147:E153" si="30">$I$145*H147</f>
        <v>0</v>
      </c>
      <c r="F147" s="9"/>
      <c r="G147" s="9"/>
      <c r="H147" s="10">
        <f t="shared" si="29"/>
        <v>6.3299999999999995E-2</v>
      </c>
    </row>
    <row r="148" spans="1:9">
      <c r="A148" s="292"/>
      <c r="B148" s="191" t="s">
        <v>250</v>
      </c>
      <c r="C148" s="7"/>
      <c r="D148" s="8"/>
      <c r="E148" s="9">
        <f t="shared" si="30"/>
        <v>0</v>
      </c>
      <c r="F148" s="9"/>
      <c r="G148" s="9"/>
      <c r="H148" s="10">
        <f t="shared" si="29"/>
        <v>5.2500000000000005E-2</v>
      </c>
    </row>
    <row r="149" spans="1:9">
      <c r="A149" s="290" t="s">
        <v>251</v>
      </c>
      <c r="B149" s="291"/>
      <c r="C149" s="11"/>
      <c r="D149" s="12"/>
      <c r="E149" s="9">
        <f t="shared" si="30"/>
        <v>0</v>
      </c>
      <c r="F149" s="9"/>
      <c r="G149" s="9"/>
      <c r="H149" s="13">
        <f t="shared" si="29"/>
        <v>0.1956</v>
      </c>
    </row>
    <row r="150" spans="1:9">
      <c r="A150" s="292" t="s">
        <v>79</v>
      </c>
      <c r="B150" s="292"/>
      <c r="C150" s="7"/>
      <c r="D150" s="8"/>
      <c r="E150" s="9">
        <f t="shared" si="30"/>
        <v>0</v>
      </c>
      <c r="F150" s="9"/>
      <c r="G150" s="9"/>
      <c r="H150" s="10">
        <f t="shared" si="29"/>
        <v>4.8999999999999998E-3</v>
      </c>
    </row>
    <row r="151" spans="1:9">
      <c r="A151" s="293" t="s">
        <v>252</v>
      </c>
      <c r="B151" s="191" t="s">
        <v>249</v>
      </c>
      <c r="C151" s="7"/>
      <c r="D151" s="8"/>
      <c r="E151" s="9">
        <f t="shared" si="30"/>
        <v>0</v>
      </c>
      <c r="F151" s="9"/>
      <c r="G151" s="9"/>
      <c r="H151" s="10">
        <f t="shared" si="29"/>
        <v>0</v>
      </c>
    </row>
    <row r="152" spans="1:9">
      <c r="A152" s="294"/>
      <c r="B152" s="191" t="s">
        <v>250</v>
      </c>
      <c r="C152" s="7"/>
      <c r="D152" s="8"/>
      <c r="E152" s="9">
        <f t="shared" si="30"/>
        <v>0</v>
      </c>
      <c r="F152" s="9"/>
      <c r="G152" s="9"/>
      <c r="H152" s="10">
        <f t="shared" si="29"/>
        <v>2.3399999999999997E-2</v>
      </c>
    </row>
    <row r="153" spans="1:9">
      <c r="A153" s="292" t="s">
        <v>82</v>
      </c>
      <c r="B153" s="292"/>
      <c r="C153" s="7"/>
      <c r="D153" s="8"/>
      <c r="E153" s="9">
        <f t="shared" si="30"/>
        <v>0</v>
      </c>
      <c r="F153" s="9"/>
      <c r="G153" s="9"/>
      <c r="H153" s="10">
        <f t="shared" si="29"/>
        <v>3.7199999999999997E-2</v>
      </c>
    </row>
    <row r="156" spans="1:9" ht="16.5">
      <c r="A156" s="1"/>
      <c r="B156" s="1"/>
      <c r="C156" s="1"/>
      <c r="D156" s="1"/>
      <c r="E156" s="1"/>
      <c r="F156" s="1"/>
      <c r="G156" s="296" t="s">
        <v>238</v>
      </c>
      <c r="H156" s="296"/>
      <c r="I156" s="15">
        <f>销量!O6</f>
        <v>0</v>
      </c>
    </row>
    <row r="157" spans="1:9">
      <c r="A157" s="295" t="s">
        <v>239</v>
      </c>
      <c r="B157" s="295"/>
      <c r="C157" s="290" t="str">
        <f t="shared" ref="C157" si="31">$C$2</f>
        <v>河北工厂平均值</v>
      </c>
      <c r="D157" s="297"/>
      <c r="E157" s="297"/>
      <c r="F157" s="297"/>
      <c r="G157" s="297"/>
      <c r="H157" s="291"/>
      <c r="I157" s="3" t="s">
        <v>240</v>
      </c>
    </row>
    <row r="158" spans="1:9" ht="27">
      <c r="A158" s="295"/>
      <c r="B158" s="295"/>
      <c r="C158" s="4" t="s">
        <v>241</v>
      </c>
      <c r="D158" s="4" t="s">
        <v>242</v>
      </c>
      <c r="E158" s="4" t="s">
        <v>243</v>
      </c>
      <c r="F158" s="5" t="s">
        <v>244</v>
      </c>
      <c r="G158" s="5" t="s">
        <v>245</v>
      </c>
      <c r="H158" s="5" t="s">
        <v>246</v>
      </c>
      <c r="I158" s="14">
        <f>销量!O8</f>
        <v>0</v>
      </c>
    </row>
    <row r="159" spans="1:9">
      <c r="A159" s="292" t="s">
        <v>247</v>
      </c>
      <c r="B159" s="292"/>
      <c r="C159" s="7"/>
      <c r="D159" s="8"/>
      <c r="E159" s="9">
        <f>$I$158*H159</f>
        <v>0</v>
      </c>
      <c r="F159" s="9"/>
      <c r="G159" s="9"/>
      <c r="H159" s="10">
        <f t="shared" ref="H159:H166" si="32">H146</f>
        <v>7.9799999999999996E-2</v>
      </c>
    </row>
    <row r="160" spans="1:9">
      <c r="A160" s="292" t="s">
        <v>248</v>
      </c>
      <c r="B160" s="191" t="s">
        <v>249</v>
      </c>
      <c r="C160" s="7"/>
      <c r="D160" s="8"/>
      <c r="E160" s="9">
        <f t="shared" ref="E160:E166" si="33">$I$158*H160</f>
        <v>0</v>
      </c>
      <c r="F160" s="9"/>
      <c r="G160" s="9"/>
      <c r="H160" s="10">
        <f t="shared" si="32"/>
        <v>6.3299999999999995E-2</v>
      </c>
    </row>
    <row r="161" spans="1:9">
      <c r="A161" s="292"/>
      <c r="B161" s="191" t="s">
        <v>250</v>
      </c>
      <c r="C161" s="7"/>
      <c r="D161" s="8"/>
      <c r="E161" s="9">
        <f t="shared" si="33"/>
        <v>0</v>
      </c>
      <c r="F161" s="9"/>
      <c r="G161" s="9"/>
      <c r="H161" s="10">
        <f t="shared" si="32"/>
        <v>5.2500000000000005E-2</v>
      </c>
    </row>
    <row r="162" spans="1:9">
      <c r="A162" s="290" t="s">
        <v>251</v>
      </c>
      <c r="B162" s="291"/>
      <c r="C162" s="11"/>
      <c r="D162" s="12"/>
      <c r="E162" s="9">
        <f t="shared" si="33"/>
        <v>0</v>
      </c>
      <c r="F162" s="9"/>
      <c r="G162" s="9"/>
      <c r="H162" s="13">
        <f t="shared" si="32"/>
        <v>0.1956</v>
      </c>
    </row>
    <row r="163" spans="1:9">
      <c r="A163" s="292" t="s">
        <v>79</v>
      </c>
      <c r="B163" s="292"/>
      <c r="C163" s="7"/>
      <c r="D163" s="8"/>
      <c r="E163" s="9">
        <f t="shared" si="33"/>
        <v>0</v>
      </c>
      <c r="F163" s="9"/>
      <c r="G163" s="9"/>
      <c r="H163" s="10">
        <f t="shared" si="32"/>
        <v>4.8999999999999998E-3</v>
      </c>
    </row>
    <row r="164" spans="1:9">
      <c r="A164" s="293" t="s">
        <v>252</v>
      </c>
      <c r="B164" s="191" t="s">
        <v>249</v>
      </c>
      <c r="C164" s="7"/>
      <c r="D164" s="8"/>
      <c r="E164" s="9">
        <f t="shared" si="33"/>
        <v>0</v>
      </c>
      <c r="F164" s="9"/>
      <c r="G164" s="9"/>
      <c r="H164" s="10">
        <f t="shared" si="32"/>
        <v>0</v>
      </c>
    </row>
    <row r="165" spans="1:9">
      <c r="A165" s="294"/>
      <c r="B165" s="191" t="s">
        <v>250</v>
      </c>
      <c r="C165" s="7"/>
      <c r="D165" s="8"/>
      <c r="E165" s="9">
        <f t="shared" si="33"/>
        <v>0</v>
      </c>
      <c r="F165" s="9"/>
      <c r="G165" s="9"/>
      <c r="H165" s="10">
        <f t="shared" si="32"/>
        <v>2.3399999999999997E-2</v>
      </c>
    </row>
    <row r="166" spans="1:9">
      <c r="A166" s="292" t="s">
        <v>82</v>
      </c>
      <c r="B166" s="292"/>
      <c r="C166" s="7"/>
      <c r="D166" s="8"/>
      <c r="E166" s="9">
        <f t="shared" si="33"/>
        <v>0</v>
      </c>
      <c r="F166" s="9"/>
      <c r="G166" s="9"/>
      <c r="H166" s="10">
        <f t="shared" si="32"/>
        <v>3.7199999999999997E-2</v>
      </c>
    </row>
    <row r="169" spans="1:9" ht="16.5">
      <c r="A169" s="1"/>
      <c r="B169" s="1"/>
      <c r="C169" s="1"/>
      <c r="D169" s="1"/>
      <c r="E169" s="1"/>
      <c r="F169" s="1"/>
      <c r="G169" s="296" t="s">
        <v>238</v>
      </c>
      <c r="H169" s="296"/>
      <c r="I169" s="15">
        <f>销量!P6</f>
        <v>0</v>
      </c>
    </row>
    <row r="170" spans="1:9">
      <c r="A170" s="295" t="s">
        <v>239</v>
      </c>
      <c r="B170" s="295"/>
      <c r="C170" s="290" t="str">
        <f t="shared" ref="C170" si="34">$C$2</f>
        <v>河北工厂平均值</v>
      </c>
      <c r="D170" s="297"/>
      <c r="E170" s="297"/>
      <c r="F170" s="297"/>
      <c r="G170" s="297"/>
      <c r="H170" s="291"/>
      <c r="I170" s="3" t="s">
        <v>240</v>
      </c>
    </row>
    <row r="171" spans="1:9" ht="27">
      <c r="A171" s="295"/>
      <c r="B171" s="295"/>
      <c r="C171" s="4" t="s">
        <v>241</v>
      </c>
      <c r="D171" s="4" t="s">
        <v>242</v>
      </c>
      <c r="E171" s="4" t="s">
        <v>243</v>
      </c>
      <c r="F171" s="5" t="s">
        <v>244</v>
      </c>
      <c r="G171" s="5" t="s">
        <v>245</v>
      </c>
      <c r="H171" s="5" t="s">
        <v>246</v>
      </c>
      <c r="I171" s="14">
        <f>销量!P8</f>
        <v>0</v>
      </c>
    </row>
    <row r="172" spans="1:9">
      <c r="A172" s="292" t="s">
        <v>247</v>
      </c>
      <c r="B172" s="292"/>
      <c r="C172" s="7"/>
      <c r="D172" s="8"/>
      <c r="E172" s="9">
        <f>$I$171*H172</f>
        <v>0</v>
      </c>
      <c r="F172" s="9"/>
      <c r="G172" s="9"/>
      <c r="H172" s="10">
        <f t="shared" ref="H172:H179" si="35">H159</f>
        <v>7.9799999999999996E-2</v>
      </c>
    </row>
    <row r="173" spans="1:9">
      <c r="A173" s="292" t="s">
        <v>248</v>
      </c>
      <c r="B173" s="191" t="s">
        <v>249</v>
      </c>
      <c r="C173" s="7"/>
      <c r="D173" s="8"/>
      <c r="E173" s="9">
        <f t="shared" ref="E173:E179" si="36">$I$171*H173</f>
        <v>0</v>
      </c>
      <c r="F173" s="9"/>
      <c r="G173" s="9"/>
      <c r="H173" s="10">
        <f t="shared" si="35"/>
        <v>6.3299999999999995E-2</v>
      </c>
    </row>
    <row r="174" spans="1:9">
      <c r="A174" s="292"/>
      <c r="B174" s="191" t="s">
        <v>250</v>
      </c>
      <c r="C174" s="7"/>
      <c r="D174" s="8"/>
      <c r="E174" s="9">
        <f t="shared" si="36"/>
        <v>0</v>
      </c>
      <c r="F174" s="9"/>
      <c r="G174" s="9"/>
      <c r="H174" s="10">
        <f t="shared" si="35"/>
        <v>5.2500000000000005E-2</v>
      </c>
    </row>
    <row r="175" spans="1:9">
      <c r="A175" s="290" t="s">
        <v>251</v>
      </c>
      <c r="B175" s="291"/>
      <c r="C175" s="11"/>
      <c r="D175" s="12"/>
      <c r="E175" s="9">
        <f t="shared" si="36"/>
        <v>0</v>
      </c>
      <c r="F175" s="9"/>
      <c r="G175" s="9"/>
      <c r="H175" s="13">
        <f t="shared" si="35"/>
        <v>0.1956</v>
      </c>
    </row>
    <row r="176" spans="1:9">
      <c r="A176" s="292" t="s">
        <v>79</v>
      </c>
      <c r="B176" s="292"/>
      <c r="C176" s="7"/>
      <c r="D176" s="8"/>
      <c r="E176" s="9">
        <f t="shared" si="36"/>
        <v>0</v>
      </c>
      <c r="F176" s="9"/>
      <c r="G176" s="9"/>
      <c r="H176" s="10">
        <f t="shared" si="35"/>
        <v>4.8999999999999998E-3</v>
      </c>
    </row>
    <row r="177" spans="1:9">
      <c r="A177" s="293" t="s">
        <v>252</v>
      </c>
      <c r="B177" s="191" t="s">
        <v>249</v>
      </c>
      <c r="C177" s="7"/>
      <c r="D177" s="8"/>
      <c r="E177" s="9">
        <f t="shared" si="36"/>
        <v>0</v>
      </c>
      <c r="F177" s="9"/>
      <c r="G177" s="9"/>
      <c r="H177" s="10">
        <f t="shared" si="35"/>
        <v>0</v>
      </c>
    </row>
    <row r="178" spans="1:9">
      <c r="A178" s="294"/>
      <c r="B178" s="191" t="s">
        <v>250</v>
      </c>
      <c r="C178" s="7"/>
      <c r="D178" s="8"/>
      <c r="E178" s="9">
        <f t="shared" si="36"/>
        <v>0</v>
      </c>
      <c r="F178" s="9"/>
      <c r="G178" s="9"/>
      <c r="H178" s="10">
        <f t="shared" si="35"/>
        <v>2.3399999999999997E-2</v>
      </c>
    </row>
    <row r="179" spans="1:9">
      <c r="A179" s="292" t="s">
        <v>82</v>
      </c>
      <c r="B179" s="292"/>
      <c r="C179" s="7"/>
      <c r="D179" s="8"/>
      <c r="E179" s="9">
        <f t="shared" si="36"/>
        <v>0</v>
      </c>
      <c r="F179" s="9"/>
      <c r="G179" s="9"/>
      <c r="H179" s="10">
        <f t="shared" si="35"/>
        <v>3.7199999999999997E-2</v>
      </c>
    </row>
    <row r="182" spans="1:9" ht="16.5">
      <c r="A182" s="1"/>
      <c r="B182" s="1"/>
      <c r="C182" s="1"/>
      <c r="D182" s="1"/>
      <c r="E182" s="1"/>
      <c r="F182" s="1"/>
      <c r="G182" s="296" t="s">
        <v>238</v>
      </c>
      <c r="H182" s="296"/>
      <c r="I182" s="15">
        <f>销量!Q6</f>
        <v>0</v>
      </c>
    </row>
    <row r="183" spans="1:9">
      <c r="A183" s="295" t="s">
        <v>239</v>
      </c>
      <c r="B183" s="295"/>
      <c r="C183" s="290" t="str">
        <f t="shared" ref="C183" si="37">$C$2</f>
        <v>河北工厂平均值</v>
      </c>
      <c r="D183" s="297"/>
      <c r="E183" s="297"/>
      <c r="F183" s="297"/>
      <c r="G183" s="297"/>
      <c r="H183" s="291"/>
      <c r="I183" s="3" t="s">
        <v>240</v>
      </c>
    </row>
    <row r="184" spans="1:9" ht="27">
      <c r="A184" s="295"/>
      <c r="B184" s="295"/>
      <c r="C184" s="4" t="s">
        <v>241</v>
      </c>
      <c r="D184" s="4" t="s">
        <v>242</v>
      </c>
      <c r="E184" s="4" t="s">
        <v>243</v>
      </c>
      <c r="F184" s="5" t="s">
        <v>244</v>
      </c>
      <c r="G184" s="5" t="s">
        <v>245</v>
      </c>
      <c r="H184" s="5" t="s">
        <v>246</v>
      </c>
      <c r="I184" s="14">
        <f>销量!Q8</f>
        <v>0</v>
      </c>
    </row>
    <row r="185" spans="1:9">
      <c r="A185" s="292" t="s">
        <v>247</v>
      </c>
      <c r="B185" s="292"/>
      <c r="C185" s="7"/>
      <c r="D185" s="8"/>
      <c r="E185" s="9">
        <f>$I$184*H185</f>
        <v>0</v>
      </c>
      <c r="F185" s="9"/>
      <c r="G185" s="9"/>
      <c r="H185" s="10">
        <f t="shared" ref="H185:H192" si="38">H172</f>
        <v>7.9799999999999996E-2</v>
      </c>
    </row>
    <row r="186" spans="1:9">
      <c r="A186" s="292" t="s">
        <v>248</v>
      </c>
      <c r="B186" s="191" t="s">
        <v>249</v>
      </c>
      <c r="C186" s="7"/>
      <c r="D186" s="8"/>
      <c r="E186" s="9">
        <f t="shared" ref="E186:E192" si="39">$I$184*H186</f>
        <v>0</v>
      </c>
      <c r="F186" s="9"/>
      <c r="G186" s="9"/>
      <c r="H186" s="10">
        <f t="shared" si="38"/>
        <v>6.3299999999999995E-2</v>
      </c>
    </row>
    <row r="187" spans="1:9">
      <c r="A187" s="292"/>
      <c r="B187" s="191" t="s">
        <v>250</v>
      </c>
      <c r="C187" s="7"/>
      <c r="D187" s="8"/>
      <c r="E187" s="9">
        <f t="shared" si="39"/>
        <v>0</v>
      </c>
      <c r="F187" s="9"/>
      <c r="G187" s="9"/>
      <c r="H187" s="10">
        <f t="shared" si="38"/>
        <v>5.2500000000000005E-2</v>
      </c>
    </row>
    <row r="188" spans="1:9">
      <c r="A188" s="290" t="s">
        <v>251</v>
      </c>
      <c r="B188" s="291"/>
      <c r="C188" s="11"/>
      <c r="D188" s="12"/>
      <c r="E188" s="9">
        <f t="shared" si="39"/>
        <v>0</v>
      </c>
      <c r="F188" s="9"/>
      <c r="G188" s="9"/>
      <c r="H188" s="13">
        <f t="shared" si="38"/>
        <v>0.1956</v>
      </c>
    </row>
    <row r="189" spans="1:9">
      <c r="A189" s="292" t="s">
        <v>79</v>
      </c>
      <c r="B189" s="292"/>
      <c r="C189" s="7"/>
      <c r="D189" s="8"/>
      <c r="E189" s="9">
        <f t="shared" si="39"/>
        <v>0</v>
      </c>
      <c r="F189" s="9"/>
      <c r="G189" s="9"/>
      <c r="H189" s="10">
        <f t="shared" si="38"/>
        <v>4.8999999999999998E-3</v>
      </c>
    </row>
    <row r="190" spans="1:9">
      <c r="A190" s="293" t="s">
        <v>252</v>
      </c>
      <c r="B190" s="191" t="s">
        <v>249</v>
      </c>
      <c r="C190" s="7"/>
      <c r="D190" s="8"/>
      <c r="E190" s="9">
        <f t="shared" si="39"/>
        <v>0</v>
      </c>
      <c r="F190" s="9"/>
      <c r="G190" s="9"/>
      <c r="H190" s="10">
        <f t="shared" si="38"/>
        <v>0</v>
      </c>
    </row>
    <row r="191" spans="1:9">
      <c r="A191" s="294"/>
      <c r="B191" s="191" t="s">
        <v>250</v>
      </c>
      <c r="C191" s="7"/>
      <c r="D191" s="8"/>
      <c r="E191" s="9">
        <f t="shared" si="39"/>
        <v>0</v>
      </c>
      <c r="F191" s="9"/>
      <c r="G191" s="9"/>
      <c r="H191" s="10">
        <f t="shared" si="38"/>
        <v>2.3399999999999997E-2</v>
      </c>
    </row>
    <row r="192" spans="1:9">
      <c r="A192" s="292" t="s">
        <v>82</v>
      </c>
      <c r="B192" s="292"/>
      <c r="C192" s="7"/>
      <c r="D192" s="8"/>
      <c r="E192" s="9">
        <f t="shared" si="39"/>
        <v>0</v>
      </c>
      <c r="F192" s="9"/>
      <c r="G192" s="9"/>
      <c r="H192" s="10">
        <f t="shared" si="38"/>
        <v>3.7199999999999997E-2</v>
      </c>
    </row>
    <row r="195" spans="1:9" ht="16.5">
      <c r="A195" s="1"/>
      <c r="B195" s="1"/>
      <c r="C195" s="1"/>
      <c r="D195" s="1"/>
      <c r="E195" s="1"/>
      <c r="F195" s="1"/>
      <c r="G195" s="296" t="s">
        <v>238</v>
      </c>
      <c r="H195" s="296"/>
      <c r="I195" s="15">
        <f>销量!R6</f>
        <v>0</v>
      </c>
    </row>
    <row r="196" spans="1:9">
      <c r="A196" s="295" t="s">
        <v>239</v>
      </c>
      <c r="B196" s="295"/>
      <c r="C196" s="290" t="str">
        <f t="shared" ref="C196" si="40">$C$2</f>
        <v>河北工厂平均值</v>
      </c>
      <c r="D196" s="297"/>
      <c r="E196" s="297"/>
      <c r="F196" s="297"/>
      <c r="G196" s="297"/>
      <c r="H196" s="291"/>
      <c r="I196" s="3" t="s">
        <v>240</v>
      </c>
    </row>
    <row r="197" spans="1:9" ht="27">
      <c r="A197" s="295"/>
      <c r="B197" s="295"/>
      <c r="C197" s="4" t="s">
        <v>241</v>
      </c>
      <c r="D197" s="4" t="s">
        <v>242</v>
      </c>
      <c r="E197" s="4" t="s">
        <v>243</v>
      </c>
      <c r="F197" s="5" t="s">
        <v>244</v>
      </c>
      <c r="G197" s="5" t="s">
        <v>245</v>
      </c>
      <c r="H197" s="5" t="s">
        <v>246</v>
      </c>
      <c r="I197" s="14">
        <f>销量!R8</f>
        <v>0</v>
      </c>
    </row>
    <row r="198" spans="1:9">
      <c r="A198" s="292" t="s">
        <v>247</v>
      </c>
      <c r="B198" s="292"/>
      <c r="C198" s="7"/>
      <c r="D198" s="8"/>
      <c r="E198" s="9">
        <f>$I$197*H198</f>
        <v>0</v>
      </c>
      <c r="F198" s="9"/>
      <c r="G198" s="9"/>
      <c r="H198" s="10">
        <f t="shared" ref="H198:H205" si="41">H185</f>
        <v>7.9799999999999996E-2</v>
      </c>
    </row>
    <row r="199" spans="1:9">
      <c r="A199" s="292" t="s">
        <v>248</v>
      </c>
      <c r="B199" s="191" t="s">
        <v>249</v>
      </c>
      <c r="C199" s="7"/>
      <c r="D199" s="8"/>
      <c r="E199" s="9">
        <f t="shared" ref="E199:E205" si="42">$I$197*H199</f>
        <v>0</v>
      </c>
      <c r="F199" s="9"/>
      <c r="G199" s="9"/>
      <c r="H199" s="10">
        <f t="shared" si="41"/>
        <v>6.3299999999999995E-2</v>
      </c>
    </row>
    <row r="200" spans="1:9">
      <c r="A200" s="292"/>
      <c r="B200" s="191" t="s">
        <v>250</v>
      </c>
      <c r="C200" s="7"/>
      <c r="D200" s="8"/>
      <c r="E200" s="9">
        <f t="shared" si="42"/>
        <v>0</v>
      </c>
      <c r="F200" s="9"/>
      <c r="G200" s="9"/>
      <c r="H200" s="10">
        <f t="shared" si="41"/>
        <v>5.2500000000000005E-2</v>
      </c>
    </row>
    <row r="201" spans="1:9">
      <c r="A201" s="290" t="s">
        <v>251</v>
      </c>
      <c r="B201" s="291"/>
      <c r="C201" s="11"/>
      <c r="D201" s="12"/>
      <c r="E201" s="9">
        <f t="shared" si="42"/>
        <v>0</v>
      </c>
      <c r="F201" s="9"/>
      <c r="G201" s="9"/>
      <c r="H201" s="13">
        <f t="shared" si="41"/>
        <v>0.1956</v>
      </c>
    </row>
    <row r="202" spans="1:9">
      <c r="A202" s="292" t="s">
        <v>79</v>
      </c>
      <c r="B202" s="292"/>
      <c r="C202" s="7"/>
      <c r="D202" s="8"/>
      <c r="E202" s="9">
        <f t="shared" si="42"/>
        <v>0</v>
      </c>
      <c r="F202" s="9"/>
      <c r="G202" s="9"/>
      <c r="H202" s="10">
        <f t="shared" si="41"/>
        <v>4.8999999999999998E-3</v>
      </c>
    </row>
    <row r="203" spans="1:9">
      <c r="A203" s="293" t="s">
        <v>252</v>
      </c>
      <c r="B203" s="191" t="s">
        <v>249</v>
      </c>
      <c r="C203" s="7"/>
      <c r="D203" s="8"/>
      <c r="E203" s="9">
        <f t="shared" si="42"/>
        <v>0</v>
      </c>
      <c r="F203" s="9"/>
      <c r="G203" s="9"/>
      <c r="H203" s="10">
        <f t="shared" si="41"/>
        <v>0</v>
      </c>
    </row>
    <row r="204" spans="1:9">
      <c r="A204" s="294"/>
      <c r="B204" s="191" t="s">
        <v>250</v>
      </c>
      <c r="C204" s="7"/>
      <c r="D204" s="8"/>
      <c r="E204" s="9">
        <f t="shared" si="42"/>
        <v>0</v>
      </c>
      <c r="F204" s="9"/>
      <c r="G204" s="9"/>
      <c r="H204" s="10">
        <f t="shared" si="41"/>
        <v>2.3399999999999997E-2</v>
      </c>
    </row>
    <row r="205" spans="1:9">
      <c r="A205" s="292" t="s">
        <v>82</v>
      </c>
      <c r="B205" s="292"/>
      <c r="C205" s="7"/>
      <c r="D205" s="8"/>
      <c r="E205" s="9">
        <f t="shared" si="42"/>
        <v>0</v>
      </c>
      <c r="F205" s="9"/>
      <c r="G205" s="9"/>
      <c r="H205" s="10">
        <f t="shared" si="41"/>
        <v>3.7199999999999997E-2</v>
      </c>
    </row>
  </sheetData>
  <mergeCells count="144">
    <mergeCell ref="A205:B205"/>
    <mergeCell ref="A198:B198"/>
    <mergeCell ref="A199:A200"/>
    <mergeCell ref="A201:B201"/>
    <mergeCell ref="A202:B202"/>
    <mergeCell ref="A203:A204"/>
    <mergeCell ref="A189:B189"/>
    <mergeCell ref="A190:A191"/>
    <mergeCell ref="A192:B192"/>
    <mergeCell ref="G195:H195"/>
    <mergeCell ref="A196:B197"/>
    <mergeCell ref="C196:H196"/>
    <mergeCell ref="A183:B184"/>
    <mergeCell ref="C183:H183"/>
    <mergeCell ref="A185:B185"/>
    <mergeCell ref="A186:A187"/>
    <mergeCell ref="A188:B188"/>
    <mergeCell ref="A175:B175"/>
    <mergeCell ref="A176:B176"/>
    <mergeCell ref="A177:A178"/>
    <mergeCell ref="A179:B179"/>
    <mergeCell ref="G182:H182"/>
    <mergeCell ref="G169:H169"/>
    <mergeCell ref="A170:B171"/>
    <mergeCell ref="C170:H170"/>
    <mergeCell ref="A172:B172"/>
    <mergeCell ref="A173:A174"/>
    <mergeCell ref="A160:A161"/>
    <mergeCell ref="A162:B162"/>
    <mergeCell ref="A163:B163"/>
    <mergeCell ref="A164:A165"/>
    <mergeCell ref="A166:B166"/>
    <mergeCell ref="A153:B153"/>
    <mergeCell ref="G156:H156"/>
    <mergeCell ref="A157:B158"/>
    <mergeCell ref="C157:H157"/>
    <mergeCell ref="A159:B159"/>
    <mergeCell ref="A146:B146"/>
    <mergeCell ref="A147:A148"/>
    <mergeCell ref="A149:B149"/>
    <mergeCell ref="A150:B150"/>
    <mergeCell ref="A151:A152"/>
    <mergeCell ref="A137:B137"/>
    <mergeCell ref="A138:A139"/>
    <mergeCell ref="A140:B140"/>
    <mergeCell ref="G143:H143"/>
    <mergeCell ref="A144:B145"/>
    <mergeCell ref="C144:H144"/>
    <mergeCell ref="A131:B132"/>
    <mergeCell ref="C131:H131"/>
    <mergeCell ref="A133:B133"/>
    <mergeCell ref="A134:A135"/>
    <mergeCell ref="A136:B136"/>
    <mergeCell ref="A123:B123"/>
    <mergeCell ref="A124:B124"/>
    <mergeCell ref="A125:A126"/>
    <mergeCell ref="A127:B127"/>
    <mergeCell ref="G130:H130"/>
    <mergeCell ref="G117:H117"/>
    <mergeCell ref="A118:B119"/>
    <mergeCell ref="C118:H118"/>
    <mergeCell ref="A120:B120"/>
    <mergeCell ref="A121:A122"/>
    <mergeCell ref="A108:A109"/>
    <mergeCell ref="A110:B110"/>
    <mergeCell ref="A111:B111"/>
    <mergeCell ref="A112:A113"/>
    <mergeCell ref="A114:B114"/>
    <mergeCell ref="A101:B101"/>
    <mergeCell ref="G104:H104"/>
    <mergeCell ref="A105:B106"/>
    <mergeCell ref="C105:H105"/>
    <mergeCell ref="A107:B107"/>
    <mergeCell ref="A94:B94"/>
    <mergeCell ref="A95:A96"/>
    <mergeCell ref="A97:B97"/>
    <mergeCell ref="A98:B98"/>
    <mergeCell ref="A99:A100"/>
    <mergeCell ref="A85:B85"/>
    <mergeCell ref="A86:A87"/>
    <mergeCell ref="A88:B88"/>
    <mergeCell ref="G91:H91"/>
    <mergeCell ref="A92:B93"/>
    <mergeCell ref="C92:H92"/>
    <mergeCell ref="A79:B80"/>
    <mergeCell ref="C79:H79"/>
    <mergeCell ref="A81:B81"/>
    <mergeCell ref="A82:A83"/>
    <mergeCell ref="A84:B84"/>
    <mergeCell ref="A71:B71"/>
    <mergeCell ref="A72:B72"/>
    <mergeCell ref="A73:A74"/>
    <mergeCell ref="A75:B75"/>
    <mergeCell ref="G78:H78"/>
    <mergeCell ref="G65:H65"/>
    <mergeCell ref="A66:B67"/>
    <mergeCell ref="C66:H66"/>
    <mergeCell ref="A68:B68"/>
    <mergeCell ref="A69:A70"/>
    <mergeCell ref="G13:H13"/>
    <mergeCell ref="C14:H14"/>
    <mergeCell ref="A16:B16"/>
    <mergeCell ref="A19:B19"/>
    <mergeCell ref="A36:B36"/>
    <mergeCell ref="G39:H39"/>
    <mergeCell ref="C40:H40"/>
    <mergeCell ref="A40:B41"/>
    <mergeCell ref="A20:B20"/>
    <mergeCell ref="A23:B23"/>
    <mergeCell ref="G26:H26"/>
    <mergeCell ref="C27:H27"/>
    <mergeCell ref="A29:B29"/>
    <mergeCell ref="A21:A22"/>
    <mergeCell ref="A30:A31"/>
    <mergeCell ref="A34:A35"/>
    <mergeCell ref="A27:B28"/>
    <mergeCell ref="A32:B32"/>
    <mergeCell ref="A33:B33"/>
    <mergeCell ref="G52:H52"/>
    <mergeCell ref="A43:A44"/>
    <mergeCell ref="A47:A48"/>
    <mergeCell ref="C53:H53"/>
    <mergeCell ref="A55:B55"/>
    <mergeCell ref="G1:H1"/>
    <mergeCell ref="C2:H2"/>
    <mergeCell ref="A4:B4"/>
    <mergeCell ref="A7:B7"/>
    <mergeCell ref="A8:B8"/>
    <mergeCell ref="A5:A6"/>
    <mergeCell ref="A2:B3"/>
    <mergeCell ref="A9:A10"/>
    <mergeCell ref="A17:A18"/>
    <mergeCell ref="A14:B15"/>
    <mergeCell ref="A11:B11"/>
    <mergeCell ref="A58:B58"/>
    <mergeCell ref="A59:B59"/>
    <mergeCell ref="A62:B62"/>
    <mergeCell ref="A56:A57"/>
    <mergeCell ref="A60:A61"/>
    <mergeCell ref="A53:B54"/>
    <mergeCell ref="A42:B42"/>
    <mergeCell ref="A45:B45"/>
    <mergeCell ref="A46:B46"/>
    <mergeCell ref="A49:B49"/>
  </mergeCells>
  <phoneticPr fontId="45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"/>
  <sheetViews>
    <sheetView workbookViewId="0">
      <selection activeCell="B11" sqref="B11:B15"/>
    </sheetView>
  </sheetViews>
  <sheetFormatPr defaultColWidth="9.125" defaultRowHeight="19.899999999999999" customHeight="1"/>
  <cols>
    <col min="1" max="1" width="8" style="124" customWidth="1"/>
    <col min="2" max="2" width="28.5" style="124" customWidth="1"/>
    <col min="3" max="4" width="9.125" style="124"/>
    <col min="5" max="5" width="13.875" style="124" customWidth="1"/>
    <col min="6" max="12" width="16.125" style="124" customWidth="1"/>
    <col min="13" max="13" width="10.625" style="124" customWidth="1"/>
    <col min="14" max="254" width="9.125" style="124"/>
    <col min="255" max="255" width="8" style="124" customWidth="1"/>
    <col min="256" max="256" width="28.5" style="124" customWidth="1"/>
    <col min="257" max="268" width="9.125" style="124"/>
    <col min="269" max="269" width="10.625" style="124" customWidth="1"/>
    <col min="270" max="510" width="9.125" style="124"/>
    <col min="511" max="511" width="8" style="124" customWidth="1"/>
    <col min="512" max="512" width="28.5" style="124" customWidth="1"/>
    <col min="513" max="524" width="9.125" style="124"/>
    <col min="525" max="525" width="10.625" style="124" customWidth="1"/>
    <col min="526" max="766" width="9.125" style="124"/>
    <col min="767" max="767" width="8" style="124" customWidth="1"/>
    <col min="768" max="768" width="28.5" style="124" customWidth="1"/>
    <col min="769" max="780" width="9.125" style="124"/>
    <col min="781" max="781" width="10.625" style="124" customWidth="1"/>
    <col min="782" max="1022" width="9.125" style="124"/>
    <col min="1023" max="1023" width="8" style="124" customWidth="1"/>
    <col min="1024" max="1024" width="28.5" style="124" customWidth="1"/>
    <col min="1025" max="1036" width="9.125" style="124"/>
    <col min="1037" max="1037" width="10.625" style="124" customWidth="1"/>
    <col min="1038" max="1278" width="9.125" style="124"/>
    <col min="1279" max="1279" width="8" style="124" customWidth="1"/>
    <col min="1280" max="1280" width="28.5" style="124" customWidth="1"/>
    <col min="1281" max="1292" width="9.125" style="124"/>
    <col min="1293" max="1293" width="10.625" style="124" customWidth="1"/>
    <col min="1294" max="1534" width="9.125" style="124"/>
    <col min="1535" max="1535" width="8" style="124" customWidth="1"/>
    <col min="1536" max="1536" width="28.5" style="124" customWidth="1"/>
    <col min="1537" max="1548" width="9.125" style="124"/>
    <col min="1549" max="1549" width="10.625" style="124" customWidth="1"/>
    <col min="1550" max="1790" width="9.125" style="124"/>
    <col min="1791" max="1791" width="8" style="124" customWidth="1"/>
    <col min="1792" max="1792" width="28.5" style="124" customWidth="1"/>
    <col min="1793" max="1804" width="9.125" style="124"/>
    <col min="1805" max="1805" width="10.625" style="124" customWidth="1"/>
    <col min="1806" max="2046" width="9.125" style="124"/>
    <col min="2047" max="2047" width="8" style="124" customWidth="1"/>
    <col min="2048" max="2048" width="28.5" style="124" customWidth="1"/>
    <col min="2049" max="2060" width="9.125" style="124"/>
    <col min="2061" max="2061" width="10.625" style="124" customWidth="1"/>
    <col min="2062" max="2302" width="9.125" style="124"/>
    <col min="2303" max="2303" width="8" style="124" customWidth="1"/>
    <col min="2304" max="2304" width="28.5" style="124" customWidth="1"/>
    <col min="2305" max="2316" width="9.125" style="124"/>
    <col min="2317" max="2317" width="10.625" style="124" customWidth="1"/>
    <col min="2318" max="2558" width="9.125" style="124"/>
    <col min="2559" max="2559" width="8" style="124" customWidth="1"/>
    <col min="2560" max="2560" width="28.5" style="124" customWidth="1"/>
    <col min="2561" max="2572" width="9.125" style="124"/>
    <col min="2573" max="2573" width="10.625" style="124" customWidth="1"/>
    <col min="2574" max="2814" width="9.125" style="124"/>
    <col min="2815" max="2815" width="8" style="124" customWidth="1"/>
    <col min="2816" max="2816" width="28.5" style="124" customWidth="1"/>
    <col min="2817" max="2828" width="9.125" style="124"/>
    <col min="2829" max="2829" width="10.625" style="124" customWidth="1"/>
    <col min="2830" max="3070" width="9.125" style="124"/>
    <col min="3071" max="3071" width="8" style="124" customWidth="1"/>
    <col min="3072" max="3072" width="28.5" style="124" customWidth="1"/>
    <col min="3073" max="3084" width="9.125" style="124"/>
    <col min="3085" max="3085" width="10.625" style="124" customWidth="1"/>
    <col min="3086" max="3326" width="9.125" style="124"/>
    <col min="3327" max="3327" width="8" style="124" customWidth="1"/>
    <col min="3328" max="3328" width="28.5" style="124" customWidth="1"/>
    <col min="3329" max="3340" width="9.125" style="124"/>
    <col min="3341" max="3341" width="10.625" style="124" customWidth="1"/>
    <col min="3342" max="3582" width="9.125" style="124"/>
    <col min="3583" max="3583" width="8" style="124" customWidth="1"/>
    <col min="3584" max="3584" width="28.5" style="124" customWidth="1"/>
    <col min="3585" max="3596" width="9.125" style="124"/>
    <col min="3597" max="3597" width="10.625" style="124" customWidth="1"/>
    <col min="3598" max="3838" width="9.125" style="124"/>
    <col min="3839" max="3839" width="8" style="124" customWidth="1"/>
    <col min="3840" max="3840" width="28.5" style="124" customWidth="1"/>
    <col min="3841" max="3852" width="9.125" style="124"/>
    <col min="3853" max="3853" width="10.625" style="124" customWidth="1"/>
    <col min="3854" max="4094" width="9.125" style="124"/>
    <col min="4095" max="4095" width="8" style="124" customWidth="1"/>
    <col min="4096" max="4096" width="28.5" style="124" customWidth="1"/>
    <col min="4097" max="4108" width="9.125" style="124"/>
    <col min="4109" max="4109" width="10.625" style="124" customWidth="1"/>
    <col min="4110" max="4350" width="9.125" style="124"/>
    <col min="4351" max="4351" width="8" style="124" customWidth="1"/>
    <col min="4352" max="4352" width="28.5" style="124" customWidth="1"/>
    <col min="4353" max="4364" width="9.125" style="124"/>
    <col min="4365" max="4365" width="10.625" style="124" customWidth="1"/>
    <col min="4366" max="4606" width="9.125" style="124"/>
    <col min="4607" max="4607" width="8" style="124" customWidth="1"/>
    <col min="4608" max="4608" width="28.5" style="124" customWidth="1"/>
    <col min="4609" max="4620" width="9.125" style="124"/>
    <col min="4621" max="4621" width="10.625" style="124" customWidth="1"/>
    <col min="4622" max="4862" width="9.125" style="124"/>
    <col min="4863" max="4863" width="8" style="124" customWidth="1"/>
    <col min="4864" max="4864" width="28.5" style="124" customWidth="1"/>
    <col min="4865" max="4876" width="9.125" style="124"/>
    <col min="4877" max="4877" width="10.625" style="124" customWidth="1"/>
    <col min="4878" max="5118" width="9.125" style="124"/>
    <col min="5119" max="5119" width="8" style="124" customWidth="1"/>
    <col min="5120" max="5120" width="28.5" style="124" customWidth="1"/>
    <col min="5121" max="5132" width="9.125" style="124"/>
    <col min="5133" max="5133" width="10.625" style="124" customWidth="1"/>
    <col min="5134" max="5374" width="9.125" style="124"/>
    <col min="5375" max="5375" width="8" style="124" customWidth="1"/>
    <col min="5376" max="5376" width="28.5" style="124" customWidth="1"/>
    <col min="5377" max="5388" width="9.125" style="124"/>
    <col min="5389" max="5389" width="10.625" style="124" customWidth="1"/>
    <col min="5390" max="5630" width="9.125" style="124"/>
    <col min="5631" max="5631" width="8" style="124" customWidth="1"/>
    <col min="5632" max="5632" width="28.5" style="124" customWidth="1"/>
    <col min="5633" max="5644" width="9.125" style="124"/>
    <col min="5645" max="5645" width="10.625" style="124" customWidth="1"/>
    <col min="5646" max="5886" width="9.125" style="124"/>
    <col min="5887" max="5887" width="8" style="124" customWidth="1"/>
    <col min="5888" max="5888" width="28.5" style="124" customWidth="1"/>
    <col min="5889" max="5900" width="9.125" style="124"/>
    <col min="5901" max="5901" width="10.625" style="124" customWidth="1"/>
    <col min="5902" max="6142" width="9.125" style="124"/>
    <col min="6143" max="6143" width="8" style="124" customWidth="1"/>
    <col min="6144" max="6144" width="28.5" style="124" customWidth="1"/>
    <col min="6145" max="6156" width="9.125" style="124"/>
    <col min="6157" max="6157" width="10.625" style="124" customWidth="1"/>
    <col min="6158" max="6398" width="9.125" style="124"/>
    <col min="6399" max="6399" width="8" style="124" customWidth="1"/>
    <col min="6400" max="6400" width="28.5" style="124" customWidth="1"/>
    <col min="6401" max="6412" width="9.125" style="124"/>
    <col min="6413" max="6413" width="10.625" style="124" customWidth="1"/>
    <col min="6414" max="6654" width="9.125" style="124"/>
    <col min="6655" max="6655" width="8" style="124" customWidth="1"/>
    <col min="6656" max="6656" width="28.5" style="124" customWidth="1"/>
    <col min="6657" max="6668" width="9.125" style="124"/>
    <col min="6669" max="6669" width="10.625" style="124" customWidth="1"/>
    <col min="6670" max="6910" width="9.125" style="124"/>
    <col min="6911" max="6911" width="8" style="124" customWidth="1"/>
    <col min="6912" max="6912" width="28.5" style="124" customWidth="1"/>
    <col min="6913" max="6924" width="9.125" style="124"/>
    <col min="6925" max="6925" width="10.625" style="124" customWidth="1"/>
    <col min="6926" max="7166" width="9.125" style="124"/>
    <col min="7167" max="7167" width="8" style="124" customWidth="1"/>
    <col min="7168" max="7168" width="28.5" style="124" customWidth="1"/>
    <col min="7169" max="7180" width="9.125" style="124"/>
    <col min="7181" max="7181" width="10.625" style="124" customWidth="1"/>
    <col min="7182" max="7422" width="9.125" style="124"/>
    <col min="7423" max="7423" width="8" style="124" customWidth="1"/>
    <col min="7424" max="7424" width="28.5" style="124" customWidth="1"/>
    <col min="7425" max="7436" width="9.125" style="124"/>
    <col min="7437" max="7437" width="10.625" style="124" customWidth="1"/>
    <col min="7438" max="7678" width="9.125" style="124"/>
    <col min="7679" max="7679" width="8" style="124" customWidth="1"/>
    <col min="7680" max="7680" width="28.5" style="124" customWidth="1"/>
    <col min="7681" max="7692" width="9.125" style="124"/>
    <col min="7693" max="7693" width="10.625" style="124" customWidth="1"/>
    <col min="7694" max="7934" width="9.125" style="124"/>
    <col min="7935" max="7935" width="8" style="124" customWidth="1"/>
    <col min="7936" max="7936" width="28.5" style="124" customWidth="1"/>
    <col min="7937" max="7948" width="9.125" style="124"/>
    <col min="7949" max="7949" width="10.625" style="124" customWidth="1"/>
    <col min="7950" max="8190" width="9.125" style="124"/>
    <col min="8191" max="8191" width="8" style="124" customWidth="1"/>
    <col min="8192" max="8192" width="28.5" style="124" customWidth="1"/>
    <col min="8193" max="8204" width="9.125" style="124"/>
    <col min="8205" max="8205" width="10.625" style="124" customWidth="1"/>
    <col min="8206" max="8446" width="9.125" style="124"/>
    <col min="8447" max="8447" width="8" style="124" customWidth="1"/>
    <col min="8448" max="8448" width="28.5" style="124" customWidth="1"/>
    <col min="8449" max="8460" width="9.125" style="124"/>
    <col min="8461" max="8461" width="10.625" style="124" customWidth="1"/>
    <col min="8462" max="8702" width="9.125" style="124"/>
    <col min="8703" max="8703" width="8" style="124" customWidth="1"/>
    <col min="8704" max="8704" width="28.5" style="124" customWidth="1"/>
    <col min="8705" max="8716" width="9.125" style="124"/>
    <col min="8717" max="8717" width="10.625" style="124" customWidth="1"/>
    <col min="8718" max="8958" width="9.125" style="124"/>
    <col min="8959" max="8959" width="8" style="124" customWidth="1"/>
    <col min="8960" max="8960" width="28.5" style="124" customWidth="1"/>
    <col min="8961" max="8972" width="9.125" style="124"/>
    <col min="8973" max="8973" width="10.625" style="124" customWidth="1"/>
    <col min="8974" max="9214" width="9.125" style="124"/>
    <col min="9215" max="9215" width="8" style="124" customWidth="1"/>
    <col min="9216" max="9216" width="28.5" style="124" customWidth="1"/>
    <col min="9217" max="9228" width="9.125" style="124"/>
    <col min="9229" max="9229" width="10.625" style="124" customWidth="1"/>
    <col min="9230" max="9470" width="9.125" style="124"/>
    <col min="9471" max="9471" width="8" style="124" customWidth="1"/>
    <col min="9472" max="9472" width="28.5" style="124" customWidth="1"/>
    <col min="9473" max="9484" width="9.125" style="124"/>
    <col min="9485" max="9485" width="10.625" style="124" customWidth="1"/>
    <col min="9486" max="9726" width="9.125" style="124"/>
    <col min="9727" max="9727" width="8" style="124" customWidth="1"/>
    <col min="9728" max="9728" width="28.5" style="124" customWidth="1"/>
    <col min="9729" max="9740" width="9.125" style="124"/>
    <col min="9741" max="9741" width="10.625" style="124" customWidth="1"/>
    <col min="9742" max="9982" width="9.125" style="124"/>
    <col min="9983" max="9983" width="8" style="124" customWidth="1"/>
    <col min="9984" max="9984" width="28.5" style="124" customWidth="1"/>
    <col min="9985" max="9996" width="9.125" style="124"/>
    <col min="9997" max="9997" width="10.625" style="124" customWidth="1"/>
    <col min="9998" max="10238" width="9.125" style="124"/>
    <col min="10239" max="10239" width="8" style="124" customWidth="1"/>
    <col min="10240" max="10240" width="28.5" style="124" customWidth="1"/>
    <col min="10241" max="10252" width="9.125" style="124"/>
    <col min="10253" max="10253" width="10.625" style="124" customWidth="1"/>
    <col min="10254" max="10494" width="9.125" style="124"/>
    <col min="10495" max="10495" width="8" style="124" customWidth="1"/>
    <col min="10496" max="10496" width="28.5" style="124" customWidth="1"/>
    <col min="10497" max="10508" width="9.125" style="124"/>
    <col min="10509" max="10509" width="10.625" style="124" customWidth="1"/>
    <col min="10510" max="10750" width="9.125" style="124"/>
    <col min="10751" max="10751" width="8" style="124" customWidth="1"/>
    <col min="10752" max="10752" width="28.5" style="124" customWidth="1"/>
    <col min="10753" max="10764" width="9.125" style="124"/>
    <col min="10765" max="10765" width="10.625" style="124" customWidth="1"/>
    <col min="10766" max="11006" width="9.125" style="124"/>
    <col min="11007" max="11007" width="8" style="124" customWidth="1"/>
    <col min="11008" max="11008" width="28.5" style="124" customWidth="1"/>
    <col min="11009" max="11020" width="9.125" style="124"/>
    <col min="11021" max="11021" width="10.625" style="124" customWidth="1"/>
    <col min="11022" max="11262" width="9.125" style="124"/>
    <col min="11263" max="11263" width="8" style="124" customWidth="1"/>
    <col min="11264" max="11264" width="28.5" style="124" customWidth="1"/>
    <col min="11265" max="11276" width="9.125" style="124"/>
    <col min="11277" max="11277" width="10.625" style="124" customWidth="1"/>
    <col min="11278" max="11518" width="9.125" style="124"/>
    <col min="11519" max="11519" width="8" style="124" customWidth="1"/>
    <col min="11520" max="11520" width="28.5" style="124" customWidth="1"/>
    <col min="11521" max="11532" width="9.125" style="124"/>
    <col min="11533" max="11533" width="10.625" style="124" customWidth="1"/>
    <col min="11534" max="11774" width="9.125" style="124"/>
    <col min="11775" max="11775" width="8" style="124" customWidth="1"/>
    <col min="11776" max="11776" width="28.5" style="124" customWidth="1"/>
    <col min="11777" max="11788" width="9.125" style="124"/>
    <col min="11789" max="11789" width="10.625" style="124" customWidth="1"/>
    <col min="11790" max="12030" width="9.125" style="124"/>
    <col min="12031" max="12031" width="8" style="124" customWidth="1"/>
    <col min="12032" max="12032" width="28.5" style="124" customWidth="1"/>
    <col min="12033" max="12044" width="9.125" style="124"/>
    <col min="12045" max="12045" width="10.625" style="124" customWidth="1"/>
    <col min="12046" max="12286" width="9.125" style="124"/>
    <col min="12287" max="12287" width="8" style="124" customWidth="1"/>
    <col min="12288" max="12288" width="28.5" style="124" customWidth="1"/>
    <col min="12289" max="12300" width="9.125" style="124"/>
    <col min="12301" max="12301" width="10.625" style="124" customWidth="1"/>
    <col min="12302" max="12542" width="9.125" style="124"/>
    <col min="12543" max="12543" width="8" style="124" customWidth="1"/>
    <col min="12544" max="12544" width="28.5" style="124" customWidth="1"/>
    <col min="12545" max="12556" width="9.125" style="124"/>
    <col min="12557" max="12557" width="10.625" style="124" customWidth="1"/>
    <col min="12558" max="12798" width="9.125" style="124"/>
    <col min="12799" max="12799" width="8" style="124" customWidth="1"/>
    <col min="12800" max="12800" width="28.5" style="124" customWidth="1"/>
    <col min="12801" max="12812" width="9.125" style="124"/>
    <col min="12813" max="12813" width="10.625" style="124" customWidth="1"/>
    <col min="12814" max="13054" width="9.125" style="124"/>
    <col min="13055" max="13055" width="8" style="124" customWidth="1"/>
    <col min="13056" max="13056" width="28.5" style="124" customWidth="1"/>
    <col min="13057" max="13068" width="9.125" style="124"/>
    <col min="13069" max="13069" width="10.625" style="124" customWidth="1"/>
    <col min="13070" max="13310" width="9.125" style="124"/>
    <col min="13311" max="13311" width="8" style="124" customWidth="1"/>
    <col min="13312" max="13312" width="28.5" style="124" customWidth="1"/>
    <col min="13313" max="13324" width="9.125" style="124"/>
    <col min="13325" max="13325" width="10.625" style="124" customWidth="1"/>
    <col min="13326" max="13566" width="9.125" style="124"/>
    <col min="13567" max="13567" width="8" style="124" customWidth="1"/>
    <col min="13568" max="13568" width="28.5" style="124" customWidth="1"/>
    <col min="13569" max="13580" width="9.125" style="124"/>
    <col min="13581" max="13581" width="10.625" style="124" customWidth="1"/>
    <col min="13582" max="13822" width="9.125" style="124"/>
    <col min="13823" max="13823" width="8" style="124" customWidth="1"/>
    <col min="13824" max="13824" width="28.5" style="124" customWidth="1"/>
    <col min="13825" max="13836" width="9.125" style="124"/>
    <col min="13837" max="13837" width="10.625" style="124" customWidth="1"/>
    <col min="13838" max="14078" width="9.125" style="124"/>
    <col min="14079" max="14079" width="8" style="124" customWidth="1"/>
    <col min="14080" max="14080" width="28.5" style="124" customWidth="1"/>
    <col min="14081" max="14092" width="9.125" style="124"/>
    <col min="14093" max="14093" width="10.625" style="124" customWidth="1"/>
    <col min="14094" max="14334" width="9.125" style="124"/>
    <col min="14335" max="14335" width="8" style="124" customWidth="1"/>
    <col min="14336" max="14336" width="28.5" style="124" customWidth="1"/>
    <col min="14337" max="14348" width="9.125" style="124"/>
    <col min="14349" max="14349" width="10.625" style="124" customWidth="1"/>
    <col min="14350" max="14590" width="9.125" style="124"/>
    <col min="14591" max="14591" width="8" style="124" customWidth="1"/>
    <col min="14592" max="14592" width="28.5" style="124" customWidth="1"/>
    <col min="14593" max="14604" width="9.125" style="124"/>
    <col min="14605" max="14605" width="10.625" style="124" customWidth="1"/>
    <col min="14606" max="14846" width="9.125" style="124"/>
    <col min="14847" max="14847" width="8" style="124" customWidth="1"/>
    <col min="14848" max="14848" width="28.5" style="124" customWidth="1"/>
    <col min="14849" max="14860" width="9.125" style="124"/>
    <col min="14861" max="14861" width="10.625" style="124" customWidth="1"/>
    <col min="14862" max="15102" width="9.125" style="124"/>
    <col min="15103" max="15103" width="8" style="124" customWidth="1"/>
    <col min="15104" max="15104" width="28.5" style="124" customWidth="1"/>
    <col min="15105" max="15116" width="9.125" style="124"/>
    <col min="15117" max="15117" width="10.625" style="124" customWidth="1"/>
    <col min="15118" max="15358" width="9.125" style="124"/>
    <col min="15359" max="15359" width="8" style="124" customWidth="1"/>
    <col min="15360" max="15360" width="28.5" style="124" customWidth="1"/>
    <col min="15361" max="15372" width="9.125" style="124"/>
    <col min="15373" max="15373" width="10.625" style="124" customWidth="1"/>
    <col min="15374" max="15614" width="9.125" style="124"/>
    <col min="15615" max="15615" width="8" style="124" customWidth="1"/>
    <col min="15616" max="15616" width="28.5" style="124" customWidth="1"/>
    <col min="15617" max="15628" width="9.125" style="124"/>
    <col min="15629" max="15629" width="10.625" style="124" customWidth="1"/>
    <col min="15630" max="15870" width="9.125" style="124"/>
    <col min="15871" max="15871" width="8" style="124" customWidth="1"/>
    <col min="15872" max="15872" width="28.5" style="124" customWidth="1"/>
    <col min="15873" max="15884" width="9.125" style="124"/>
    <col min="15885" max="15885" width="10.625" style="124" customWidth="1"/>
    <col min="15886" max="16126" width="9.125" style="124"/>
    <col min="16127" max="16127" width="8" style="124" customWidth="1"/>
    <col min="16128" max="16128" width="28.5" style="124" customWidth="1"/>
    <col min="16129" max="16140" width="9.125" style="124"/>
    <col min="16141" max="16141" width="10.625" style="124" customWidth="1"/>
    <col min="16142" max="16384" width="9.125" style="124"/>
  </cols>
  <sheetData>
    <row r="1" spans="1:13" ht="18.75">
      <c r="A1" s="125" t="s">
        <v>16</v>
      </c>
      <c r="B1" s="126"/>
      <c r="C1" s="127"/>
      <c r="D1" s="127"/>
      <c r="E1" s="126"/>
      <c r="F1" s="127"/>
      <c r="G1" s="127"/>
      <c r="H1" s="126"/>
      <c r="I1" s="127"/>
      <c r="J1" s="127"/>
      <c r="K1" s="127"/>
      <c r="L1" s="127"/>
      <c r="M1" s="127"/>
    </row>
    <row r="2" spans="1:13" ht="12">
      <c r="A2" s="124" t="s">
        <v>17</v>
      </c>
      <c r="B2" s="128"/>
    </row>
    <row r="3" spans="1:13" ht="16.899999999999999" customHeight="1">
      <c r="A3" s="129" t="s">
        <v>18</v>
      </c>
      <c r="B3" s="129" t="s">
        <v>19</v>
      </c>
      <c r="C3" s="237" t="s">
        <v>20</v>
      </c>
      <c r="D3" s="237"/>
      <c r="E3" s="237"/>
      <c r="F3" s="131"/>
      <c r="G3" s="132"/>
      <c r="H3" s="133"/>
      <c r="I3" s="133"/>
      <c r="J3" s="133" t="s">
        <v>21</v>
      </c>
      <c r="K3" s="133"/>
      <c r="L3" s="133"/>
      <c r="M3" s="154"/>
    </row>
    <row r="4" spans="1:13" ht="16.149999999999999" customHeight="1">
      <c r="A4" s="134"/>
      <c r="B4" s="134" t="s">
        <v>22</v>
      </c>
      <c r="C4" s="130">
        <v>2017</v>
      </c>
      <c r="D4" s="130">
        <f t="shared" ref="D4:L4" si="0">C4+1</f>
        <v>2018</v>
      </c>
      <c r="E4" s="130">
        <f t="shared" si="0"/>
        <v>2019</v>
      </c>
      <c r="F4" s="130">
        <f t="shared" si="0"/>
        <v>2020</v>
      </c>
      <c r="G4" s="130">
        <f t="shared" si="0"/>
        <v>2021</v>
      </c>
      <c r="H4" s="135">
        <f t="shared" si="0"/>
        <v>2022</v>
      </c>
      <c r="I4" s="135">
        <f t="shared" si="0"/>
        <v>2023</v>
      </c>
      <c r="J4" s="135">
        <f t="shared" si="0"/>
        <v>2024</v>
      </c>
      <c r="K4" s="135">
        <f t="shared" si="0"/>
        <v>2025</v>
      </c>
      <c r="L4" s="135">
        <f t="shared" si="0"/>
        <v>2026</v>
      </c>
      <c r="M4" s="155" t="s">
        <v>23</v>
      </c>
    </row>
    <row r="5" spans="1:13" ht="15.6" customHeight="1">
      <c r="A5" s="136">
        <v>1</v>
      </c>
      <c r="B5" s="137" t="s">
        <v>24</v>
      </c>
      <c r="C5" s="138">
        <f>SUM(C6:C9)</f>
        <v>0</v>
      </c>
      <c r="D5" s="138">
        <f t="shared" ref="D5:L5" si="1">SUM(D6:D9)</f>
        <v>0</v>
      </c>
      <c r="E5" s="138" t="e">
        <f t="shared" si="1"/>
        <v>#REF!</v>
      </c>
      <c r="F5" s="138" t="e">
        <f t="shared" si="1"/>
        <v>#REF!</v>
      </c>
      <c r="G5" s="138" t="e">
        <f t="shared" si="1"/>
        <v>#REF!</v>
      </c>
      <c r="H5" s="138" t="e">
        <f t="shared" si="1"/>
        <v>#REF!</v>
      </c>
      <c r="I5" s="138" t="e">
        <f t="shared" si="1"/>
        <v>#REF!</v>
      </c>
      <c r="J5" s="138" t="e">
        <f t="shared" si="1"/>
        <v>#REF!</v>
      </c>
      <c r="K5" s="138" t="e">
        <f t="shared" si="1"/>
        <v>#REF!</v>
      </c>
      <c r="L5" s="138" t="e">
        <f t="shared" si="1"/>
        <v>#REF!</v>
      </c>
      <c r="M5" s="142" t="e">
        <f t="shared" ref="M5:M17" si="2">SUM(C5:L5)</f>
        <v>#REF!</v>
      </c>
    </row>
    <row r="6" spans="1:13" ht="15.6" customHeight="1">
      <c r="A6" s="136">
        <v>1.1000000000000001</v>
      </c>
      <c r="B6" s="139" t="s">
        <v>25</v>
      </c>
      <c r="C6" s="140"/>
      <c r="D6" s="140"/>
      <c r="E6" s="140" t="e">
        <f>#REF!</f>
        <v>#REF!</v>
      </c>
      <c r="F6" s="140" t="e">
        <f>#REF!</f>
        <v>#REF!</v>
      </c>
      <c r="G6" s="140" t="e">
        <f>#REF!</f>
        <v>#REF!</v>
      </c>
      <c r="H6" s="140" t="e">
        <f>#REF!</f>
        <v>#REF!</v>
      </c>
      <c r="I6" s="140" t="e">
        <f>#REF!</f>
        <v>#REF!</v>
      </c>
      <c r="J6" s="140" t="e">
        <f>#REF!</f>
        <v>#REF!</v>
      </c>
      <c r="K6" s="140" t="e">
        <f>#REF!</f>
        <v>#REF!</v>
      </c>
      <c r="L6" s="140" t="e">
        <f>#REF!</f>
        <v>#REF!</v>
      </c>
      <c r="M6" s="142" t="e">
        <f t="shared" si="2"/>
        <v>#REF!</v>
      </c>
    </row>
    <row r="7" spans="1:13" ht="15.6" customHeight="1">
      <c r="A7" s="136">
        <v>1.2</v>
      </c>
      <c r="B7" s="139" t="s">
        <v>26</v>
      </c>
      <c r="C7" s="140"/>
      <c r="D7" s="140"/>
      <c r="E7" s="140">
        <f>[1]折、摊!G18</f>
        <v>0</v>
      </c>
      <c r="F7" s="140">
        <f>[1]折、摊!H18</f>
        <v>0</v>
      </c>
      <c r="G7" s="140">
        <f>[1]折、摊!I18</f>
        <v>0</v>
      </c>
      <c r="H7" s="140">
        <f>[1]折、摊!J18</f>
        <v>0</v>
      </c>
      <c r="I7" s="140">
        <f>[1]折、摊!K18</f>
        <v>0</v>
      </c>
      <c r="J7" s="140">
        <f>[1]折、摊!L18</f>
        <v>0</v>
      </c>
      <c r="K7" s="140">
        <f>[1]折、摊!M18</f>
        <v>0</v>
      </c>
      <c r="L7" s="140">
        <f>[1]折、摊!N18</f>
        <v>0</v>
      </c>
      <c r="M7" s="142">
        <f t="shared" si="2"/>
        <v>0</v>
      </c>
    </row>
    <row r="8" spans="1:13" ht="15.6" customHeight="1">
      <c r="A8" s="136">
        <v>1.3</v>
      </c>
      <c r="B8" s="139" t="s">
        <v>27</v>
      </c>
      <c r="C8" s="140" t="s">
        <v>28</v>
      </c>
      <c r="D8" s="140" t="s">
        <v>28</v>
      </c>
      <c r="E8" s="140" t="s">
        <v>28</v>
      </c>
      <c r="F8" s="140" t="s">
        <v>28</v>
      </c>
      <c r="G8" s="140" t="s">
        <v>28</v>
      </c>
      <c r="H8" s="140" t="s">
        <v>28</v>
      </c>
      <c r="I8" s="140" t="s">
        <v>28</v>
      </c>
      <c r="J8" s="140" t="s">
        <v>28</v>
      </c>
      <c r="K8" s="140" t="s">
        <v>28</v>
      </c>
      <c r="L8" s="140"/>
      <c r="M8" s="142">
        <f t="shared" si="2"/>
        <v>0</v>
      </c>
    </row>
    <row r="9" spans="1:13" s="123" customFormat="1" ht="15.6" customHeight="1">
      <c r="A9" s="141">
        <v>1.4</v>
      </c>
      <c r="B9" s="142" t="s">
        <v>29</v>
      </c>
      <c r="C9" s="140" t="s">
        <v>28</v>
      </c>
      <c r="D9" s="140" t="s">
        <v>28</v>
      </c>
      <c r="E9" s="140" t="s">
        <v>28</v>
      </c>
      <c r="F9" s="140" t="s">
        <v>28</v>
      </c>
      <c r="G9" s="140" t="s">
        <v>28</v>
      </c>
      <c r="H9" s="140" t="s">
        <v>28</v>
      </c>
      <c r="I9" s="140" t="s">
        <v>28</v>
      </c>
      <c r="J9" s="140" t="s">
        <v>28</v>
      </c>
      <c r="K9" s="140" t="s">
        <v>28</v>
      </c>
      <c r="L9" s="140" t="s">
        <v>28</v>
      </c>
      <c r="M9" s="142">
        <f t="shared" si="2"/>
        <v>0</v>
      </c>
    </row>
    <row r="10" spans="1:13" ht="15.6" customHeight="1">
      <c r="A10" s="141">
        <v>2</v>
      </c>
      <c r="B10" s="137" t="s">
        <v>30</v>
      </c>
      <c r="C10" s="138">
        <f t="shared" ref="C10:L10" si="3">SUM(C11:C16)</f>
        <v>0</v>
      </c>
      <c r="D10" s="138">
        <f t="shared" si="3"/>
        <v>0</v>
      </c>
      <c r="E10" s="138">
        <f t="shared" si="3"/>
        <v>0</v>
      </c>
      <c r="F10" s="138">
        <f t="shared" si="3"/>
        <v>0</v>
      </c>
      <c r="G10" s="138">
        <f t="shared" si="3"/>
        <v>0</v>
      </c>
      <c r="H10" s="138">
        <f t="shared" si="3"/>
        <v>0</v>
      </c>
      <c r="I10" s="138">
        <f t="shared" si="3"/>
        <v>0</v>
      </c>
      <c r="J10" s="138">
        <f t="shared" si="3"/>
        <v>0</v>
      </c>
      <c r="K10" s="138">
        <f t="shared" si="3"/>
        <v>0</v>
      </c>
      <c r="L10" s="138">
        <f t="shared" si="3"/>
        <v>0</v>
      </c>
      <c r="M10" s="142">
        <f t="shared" si="2"/>
        <v>0</v>
      </c>
    </row>
    <row r="11" spans="1:13" ht="15" customHeight="1">
      <c r="A11" s="136">
        <v>2.1</v>
      </c>
      <c r="B11" s="136" t="s">
        <v>31</v>
      </c>
      <c r="C11" s="140">
        <f>([1]计划!C6-[1]计划!C7)</f>
        <v>0</v>
      </c>
      <c r="D11" s="140">
        <f>([1]计划!D6-[1]计划!D7)</f>
        <v>0</v>
      </c>
      <c r="E11" s="140">
        <f>([1]计划!E6-[1]计划!E7)</f>
        <v>0</v>
      </c>
      <c r="F11" s="140">
        <f>([1]计划!F6-[1]计划!F7)</f>
        <v>0</v>
      </c>
      <c r="G11" s="140">
        <f>([1]计划!G6-[1]计划!G7)</f>
        <v>0</v>
      </c>
      <c r="H11" s="140">
        <f>([1]计划!H6-[1]计划!H7)</f>
        <v>0</v>
      </c>
      <c r="I11" s="140">
        <f>([1]计划!I6-[1]计划!I7)</f>
        <v>0</v>
      </c>
      <c r="J11" s="140">
        <f>([1]计划!J6-[1]计划!J7)</f>
        <v>0</v>
      </c>
      <c r="K11" s="140">
        <f>([1]计划!K6-[1]计划!K7)</f>
        <v>0</v>
      </c>
      <c r="L11" s="140">
        <f>([1]计划!L6-[1]计划!L7)</f>
        <v>0</v>
      </c>
      <c r="M11" s="142">
        <f t="shared" si="2"/>
        <v>0</v>
      </c>
    </row>
    <row r="12" spans="1:13" s="123" customFormat="1" ht="15" customHeight="1">
      <c r="A12" s="136">
        <v>2.2000000000000002</v>
      </c>
      <c r="B12" s="142" t="s">
        <v>32</v>
      </c>
      <c r="C12" s="140">
        <f>[1]计划!C8</f>
        <v>0</v>
      </c>
      <c r="D12" s="140">
        <f>[1]计划!D8</f>
        <v>0</v>
      </c>
      <c r="E12" s="140">
        <f>[1]计划!E8</f>
        <v>0</v>
      </c>
      <c r="F12" s="140">
        <f>[1]计划!F8</f>
        <v>0</v>
      </c>
      <c r="G12" s="140">
        <f>[1]计划!G8</f>
        <v>0</v>
      </c>
      <c r="H12" s="140">
        <f>[1]计划!H8</f>
        <v>0</v>
      </c>
      <c r="I12" s="140">
        <f>[1]计划!I8</f>
        <v>0</v>
      </c>
      <c r="J12" s="140">
        <f>[1]计划!J8</f>
        <v>0</v>
      </c>
      <c r="K12" s="140">
        <f>[1]计划!K8</f>
        <v>0</v>
      </c>
      <c r="L12" s="140">
        <f>[1]计划!L8</f>
        <v>0</v>
      </c>
      <c r="M12" s="142">
        <f t="shared" si="2"/>
        <v>0</v>
      </c>
    </row>
    <row r="13" spans="1:13" ht="15" customHeight="1">
      <c r="A13" s="136">
        <v>2.2999999999999998</v>
      </c>
      <c r="B13" s="139" t="s">
        <v>33</v>
      </c>
      <c r="C13" s="140">
        <f>[1]总成本!C22</f>
        <v>0</v>
      </c>
      <c r="D13" s="140">
        <f>[1]总成本!D22</f>
        <v>0</v>
      </c>
      <c r="E13" s="140">
        <f>[1]总成本!E22</f>
        <v>0</v>
      </c>
      <c r="F13" s="140">
        <f>[1]总成本!F22</f>
        <v>0</v>
      </c>
      <c r="G13" s="140">
        <f>[1]总成本!G22</f>
        <v>0</v>
      </c>
      <c r="H13" s="140">
        <f>[1]总成本!H22</f>
        <v>0</v>
      </c>
      <c r="I13" s="140">
        <f>[1]总成本!I22</f>
        <v>0</v>
      </c>
      <c r="J13" s="140">
        <f>[1]总成本!J22</f>
        <v>0</v>
      </c>
      <c r="K13" s="140">
        <f>[1]总成本!K22</f>
        <v>0</v>
      </c>
      <c r="L13" s="140">
        <f>[1]总成本!L22</f>
        <v>0</v>
      </c>
      <c r="M13" s="142">
        <f t="shared" si="2"/>
        <v>0</v>
      </c>
    </row>
    <row r="14" spans="1:13" ht="15" customHeight="1">
      <c r="A14" s="136">
        <v>2.4</v>
      </c>
      <c r="B14" s="139" t="s">
        <v>34</v>
      </c>
      <c r="C14" s="140">
        <f>[1]价格!D15</f>
        <v>0</v>
      </c>
      <c r="D14" s="140">
        <f>[1]价格!E15</f>
        <v>0</v>
      </c>
      <c r="E14" s="140">
        <f>[1]价格!F15</f>
        <v>0</v>
      </c>
      <c r="F14" s="140">
        <f>[1]价格!G15</f>
        <v>0</v>
      </c>
      <c r="G14" s="140">
        <f>[1]价格!H15</f>
        <v>0</v>
      </c>
      <c r="H14" s="140">
        <f>[1]价格!I15</f>
        <v>0</v>
      </c>
      <c r="I14" s="140">
        <f>[1]价格!J15</f>
        <v>0</v>
      </c>
      <c r="J14" s="140">
        <f>[1]价格!K15</f>
        <v>0</v>
      </c>
      <c r="K14" s="140">
        <f>[1]价格!L15</f>
        <v>0</v>
      </c>
      <c r="L14" s="140">
        <f>[1]价格!M15</f>
        <v>0</v>
      </c>
      <c r="M14" s="142">
        <f t="shared" si="2"/>
        <v>0</v>
      </c>
    </row>
    <row r="15" spans="1:13" ht="15" customHeight="1">
      <c r="A15" s="136">
        <v>2.5</v>
      </c>
      <c r="B15" s="139" t="s">
        <v>35</v>
      </c>
      <c r="C15" s="140">
        <f>[1]利润!C13</f>
        <v>0</v>
      </c>
      <c r="D15" s="140">
        <f>[1]利润!D13</f>
        <v>0</v>
      </c>
      <c r="E15" s="140">
        <f>[1]利润!E13</f>
        <v>0</v>
      </c>
      <c r="F15" s="140">
        <f>[1]利润!F13</f>
        <v>0</v>
      </c>
      <c r="G15" s="140">
        <f>[1]利润!G13</f>
        <v>0</v>
      </c>
      <c r="H15" s="140">
        <f>[1]利润!H13</f>
        <v>0</v>
      </c>
      <c r="I15" s="140">
        <f>[1]利润!I13</f>
        <v>0</v>
      </c>
      <c r="J15" s="140">
        <f>[1]利润!J13</f>
        <v>0</v>
      </c>
      <c r="K15" s="140">
        <f>[1]利润!K13</f>
        <v>0</v>
      </c>
      <c r="L15" s="140">
        <f>[1]利润!L13</f>
        <v>0</v>
      </c>
      <c r="M15" s="142">
        <f t="shared" si="2"/>
        <v>0</v>
      </c>
    </row>
    <row r="16" spans="1:13" ht="15" customHeight="1">
      <c r="A16" s="136">
        <v>2.6</v>
      </c>
      <c r="B16" s="139" t="s">
        <v>36</v>
      </c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2">
        <f t="shared" si="2"/>
        <v>0</v>
      </c>
    </row>
    <row r="17" spans="1:18" ht="12">
      <c r="A17" s="136">
        <v>3</v>
      </c>
      <c r="B17" s="137" t="s">
        <v>37</v>
      </c>
      <c r="C17" s="138">
        <f t="shared" ref="C17:L17" si="4">C5-C10</f>
        <v>0</v>
      </c>
      <c r="D17" s="138">
        <f t="shared" si="4"/>
        <v>0</v>
      </c>
      <c r="E17" s="138" t="e">
        <f t="shared" si="4"/>
        <v>#REF!</v>
      </c>
      <c r="F17" s="138" t="e">
        <f t="shared" si="4"/>
        <v>#REF!</v>
      </c>
      <c r="G17" s="138" t="e">
        <f t="shared" si="4"/>
        <v>#REF!</v>
      </c>
      <c r="H17" s="138" t="e">
        <f t="shared" si="4"/>
        <v>#REF!</v>
      </c>
      <c r="I17" s="138" t="e">
        <f t="shared" si="4"/>
        <v>#REF!</v>
      </c>
      <c r="J17" s="138" t="e">
        <f t="shared" si="4"/>
        <v>#REF!</v>
      </c>
      <c r="K17" s="138" t="e">
        <f t="shared" si="4"/>
        <v>#REF!</v>
      </c>
      <c r="L17" s="138" t="e">
        <f t="shared" si="4"/>
        <v>#REF!</v>
      </c>
      <c r="M17" s="142" t="e">
        <f t="shared" si="2"/>
        <v>#REF!</v>
      </c>
    </row>
    <row r="18" spans="1:18" ht="12">
      <c r="A18" s="143">
        <v>4</v>
      </c>
      <c r="B18" s="139" t="s">
        <v>38</v>
      </c>
      <c r="C18" s="140">
        <f>C17</f>
        <v>0</v>
      </c>
      <c r="D18" s="140">
        <f t="shared" ref="D18:L18" si="5">C18+D17</f>
        <v>0</v>
      </c>
      <c r="E18" s="140" t="e">
        <f t="shared" si="5"/>
        <v>#REF!</v>
      </c>
      <c r="F18" s="140" t="e">
        <f t="shared" si="5"/>
        <v>#REF!</v>
      </c>
      <c r="G18" s="140" t="e">
        <f t="shared" si="5"/>
        <v>#REF!</v>
      </c>
      <c r="H18" s="140" t="e">
        <f t="shared" si="5"/>
        <v>#REF!</v>
      </c>
      <c r="I18" s="140" t="e">
        <f t="shared" si="5"/>
        <v>#REF!</v>
      </c>
      <c r="J18" s="140" t="e">
        <f t="shared" si="5"/>
        <v>#REF!</v>
      </c>
      <c r="K18" s="140" t="e">
        <f t="shared" si="5"/>
        <v>#REF!</v>
      </c>
      <c r="L18" s="140" t="e">
        <f t="shared" si="5"/>
        <v>#REF!</v>
      </c>
      <c r="M18" s="139" t="s">
        <v>28</v>
      </c>
    </row>
    <row r="19" spans="1:18" s="123" customFormat="1" ht="12">
      <c r="A19" s="143">
        <v>5</v>
      </c>
      <c r="B19" s="139" t="s">
        <v>39</v>
      </c>
      <c r="C19" s="140">
        <f t="shared" ref="C19:L19" si="6">C17+C15</f>
        <v>0</v>
      </c>
      <c r="D19" s="140">
        <f t="shared" si="6"/>
        <v>0</v>
      </c>
      <c r="E19" s="140" t="e">
        <f t="shared" si="6"/>
        <v>#REF!</v>
      </c>
      <c r="F19" s="140" t="e">
        <f t="shared" si="6"/>
        <v>#REF!</v>
      </c>
      <c r="G19" s="140" t="e">
        <f t="shared" si="6"/>
        <v>#REF!</v>
      </c>
      <c r="H19" s="140" t="e">
        <f t="shared" si="6"/>
        <v>#REF!</v>
      </c>
      <c r="I19" s="140" t="e">
        <f t="shared" si="6"/>
        <v>#REF!</v>
      </c>
      <c r="J19" s="140" t="e">
        <f t="shared" si="6"/>
        <v>#REF!</v>
      </c>
      <c r="K19" s="140" t="e">
        <f t="shared" si="6"/>
        <v>#REF!</v>
      </c>
      <c r="L19" s="140" t="e">
        <f t="shared" si="6"/>
        <v>#REF!</v>
      </c>
      <c r="M19" s="142" t="e">
        <f>SUM(C19:L19)</f>
        <v>#REF!</v>
      </c>
    </row>
    <row r="20" spans="1:18" s="123" customFormat="1" ht="12">
      <c r="A20" s="136">
        <v>6</v>
      </c>
      <c r="B20" s="139" t="s">
        <v>40</v>
      </c>
      <c r="C20" s="140">
        <f>C19</f>
        <v>0</v>
      </c>
      <c r="D20" s="140">
        <f t="shared" ref="D20:L20" si="7">C20+D19</f>
        <v>0</v>
      </c>
      <c r="E20" s="140" t="e">
        <f t="shared" si="7"/>
        <v>#REF!</v>
      </c>
      <c r="F20" s="140" t="e">
        <f t="shared" si="7"/>
        <v>#REF!</v>
      </c>
      <c r="G20" s="140" t="e">
        <f t="shared" si="7"/>
        <v>#REF!</v>
      </c>
      <c r="H20" s="140" t="e">
        <f t="shared" si="7"/>
        <v>#REF!</v>
      </c>
      <c r="I20" s="140" t="e">
        <f t="shared" si="7"/>
        <v>#REF!</v>
      </c>
      <c r="J20" s="140" t="e">
        <f t="shared" si="7"/>
        <v>#REF!</v>
      </c>
      <c r="K20" s="140" t="e">
        <f t="shared" si="7"/>
        <v>#REF!</v>
      </c>
      <c r="L20" s="140" t="e">
        <f t="shared" si="7"/>
        <v>#REF!</v>
      </c>
      <c r="M20" s="139" t="s">
        <v>28</v>
      </c>
    </row>
    <row r="21" spans="1:18" ht="12">
      <c r="A21" s="144"/>
      <c r="B21" s="145" t="s">
        <v>41</v>
      </c>
      <c r="C21" s="145"/>
      <c r="D21" s="145"/>
      <c r="E21" s="145" t="s">
        <v>42</v>
      </c>
      <c r="F21" s="145"/>
      <c r="G21" s="145"/>
      <c r="H21" s="145"/>
      <c r="I21" s="145" t="s">
        <v>43</v>
      </c>
      <c r="J21" s="145"/>
      <c r="K21" s="145"/>
      <c r="L21" s="145"/>
      <c r="M21" s="156"/>
    </row>
    <row r="22" spans="1:18" ht="12">
      <c r="A22" s="146"/>
      <c r="B22" s="147" t="s">
        <v>44</v>
      </c>
      <c r="C22" s="147"/>
      <c r="D22" s="148" t="s">
        <v>45</v>
      </c>
      <c r="E22" s="149" t="e">
        <f>IRR(C17:L17,0.15)</f>
        <v>#VALUE!</v>
      </c>
      <c r="F22" s="147"/>
      <c r="G22" s="147"/>
      <c r="H22" s="147"/>
      <c r="I22" s="149" t="e">
        <f>IRR(C19:L19,0.15)</f>
        <v>#VALUE!</v>
      </c>
      <c r="J22" s="147"/>
      <c r="K22" s="147"/>
      <c r="L22" s="147"/>
      <c r="M22" s="157"/>
    </row>
    <row r="23" spans="1:18" ht="12">
      <c r="A23" s="146"/>
      <c r="B23" s="147" t="s">
        <v>46</v>
      </c>
      <c r="C23" s="147"/>
      <c r="D23" s="147"/>
      <c r="E23" s="150" t="e">
        <f>NPV(0.12,C17:L17)</f>
        <v>#REF!</v>
      </c>
      <c r="F23" s="147"/>
      <c r="G23" s="147"/>
      <c r="H23" s="147"/>
      <c r="I23" s="150" t="e">
        <f>NPV(0.12,C19:L19)</f>
        <v>#REF!</v>
      </c>
      <c r="J23" s="147"/>
      <c r="K23" s="147"/>
      <c r="L23" s="147"/>
      <c r="M23" s="157"/>
      <c r="R23" s="124">
        <f>30.9-29.82</f>
        <v>1.08</v>
      </c>
    </row>
    <row r="24" spans="1:18" ht="12">
      <c r="A24" s="151"/>
      <c r="B24" s="152" t="s">
        <v>47</v>
      </c>
      <c r="C24" s="152"/>
      <c r="D24" s="152"/>
      <c r="E24" s="153" t="e">
        <f>6-H18/I17</f>
        <v>#REF!</v>
      </c>
      <c r="F24" s="152"/>
      <c r="G24" s="152"/>
      <c r="H24" s="152"/>
      <c r="I24" s="153" t="e">
        <f>6-H20/I19</f>
        <v>#REF!</v>
      </c>
      <c r="J24" s="152"/>
      <c r="K24" s="152"/>
      <c r="L24" s="152"/>
      <c r="M24" s="158"/>
    </row>
  </sheetData>
  <mergeCells count="1">
    <mergeCell ref="C3:E3"/>
  </mergeCells>
  <phoneticPr fontId="45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64"/>
  <sheetViews>
    <sheetView tabSelected="1" workbookViewId="0">
      <pane xSplit="2" ySplit="5" topLeftCell="C6" activePane="bottomRight" state="frozen"/>
      <selection pane="topRight"/>
      <selection pane="bottomLeft"/>
      <selection pane="bottomRight" activeCell="G25" sqref="G25"/>
    </sheetView>
  </sheetViews>
  <sheetFormatPr defaultColWidth="9" defaultRowHeight="16.5"/>
  <cols>
    <col min="1" max="1" width="5.125" style="101" customWidth="1"/>
    <col min="2" max="2" width="19.625" style="101" customWidth="1"/>
    <col min="3" max="3" width="12.5" style="101" customWidth="1"/>
    <col min="4" max="7" width="12.5" style="102" customWidth="1"/>
    <col min="8" max="8" width="14.25" style="102" customWidth="1"/>
    <col min="9" max="34" width="9" style="101"/>
    <col min="35" max="35" width="4.375" style="101" customWidth="1"/>
    <col min="36" max="36" width="13.875" style="101" customWidth="1"/>
    <col min="37" max="16384" width="9" style="101"/>
  </cols>
  <sheetData>
    <row r="1" spans="1:37" ht="36.75" customHeight="1">
      <c r="A1" s="240" t="s">
        <v>300</v>
      </c>
      <c r="B1" s="240"/>
      <c r="C1" s="240"/>
      <c r="D1" s="240"/>
      <c r="E1" s="240"/>
      <c r="F1" s="240"/>
      <c r="G1" s="240"/>
      <c r="H1" s="240"/>
    </row>
    <row r="2" spans="1:37" ht="22.5" customHeight="1">
      <c r="B2" s="168"/>
      <c r="C2" s="168"/>
      <c r="D2" s="168"/>
      <c r="E2" s="168"/>
      <c r="F2" s="168"/>
      <c r="G2" s="168" t="s">
        <v>261</v>
      </c>
      <c r="H2" s="168"/>
    </row>
    <row r="3" spans="1:37" ht="21.75" customHeight="1">
      <c r="A3" s="238" t="s">
        <v>18</v>
      </c>
      <c r="B3" s="103" t="s">
        <v>1</v>
      </c>
      <c r="C3" s="103" t="s">
        <v>290</v>
      </c>
      <c r="D3" s="103" t="s">
        <v>258</v>
      </c>
      <c r="E3" s="103" t="s">
        <v>259</v>
      </c>
      <c r="F3" s="103" t="s">
        <v>260</v>
      </c>
      <c r="G3" s="103" t="s">
        <v>291</v>
      </c>
      <c r="H3" s="119" t="s">
        <v>49</v>
      </c>
      <c r="AK3" s="101" t="s">
        <v>50</v>
      </c>
    </row>
    <row r="4" spans="1:37" s="71" customFormat="1" ht="15.75" customHeight="1">
      <c r="A4" s="239"/>
      <c r="B4" s="79" t="s">
        <v>3</v>
      </c>
      <c r="C4" s="104">
        <f>'2026年'!S6</f>
        <v>40000</v>
      </c>
      <c r="D4" s="104">
        <f>'2027年'!S6</f>
        <v>40000</v>
      </c>
      <c r="E4" s="104">
        <f>'2028年'!S6</f>
        <v>40000</v>
      </c>
      <c r="F4" s="104">
        <f>'2029年'!S6</f>
        <v>40000</v>
      </c>
      <c r="G4" s="104">
        <f>'2030年'!S6</f>
        <v>40000</v>
      </c>
      <c r="H4" s="104">
        <f t="shared" ref="H4:H10" si="0">SUM(C4:G4)</f>
        <v>200000</v>
      </c>
      <c r="AI4" s="78" t="s">
        <v>18</v>
      </c>
      <c r="AJ4" s="79" t="s">
        <v>3</v>
      </c>
      <c r="AK4" s="71" t="s">
        <v>51</v>
      </c>
    </row>
    <row r="5" spans="1:37" s="71" customFormat="1" ht="15.75" customHeight="1">
      <c r="A5" s="75">
        <v>1</v>
      </c>
      <c r="B5" s="79" t="s">
        <v>52</v>
      </c>
      <c r="C5" s="104">
        <f>'2026年'!S7</f>
        <v>11768352.791210718</v>
      </c>
      <c r="D5" s="104">
        <f>'2027年'!S7</f>
        <v>11768352.791210718</v>
      </c>
      <c r="E5" s="104">
        <f>'2028年'!S7</f>
        <v>11768352.791210718</v>
      </c>
      <c r="F5" s="104">
        <f>'2029年'!S7</f>
        <v>11768352.791210718</v>
      </c>
      <c r="G5" s="104">
        <f>'2030年'!S7</f>
        <v>11768352.791210718</v>
      </c>
      <c r="H5" s="104">
        <f t="shared" si="0"/>
        <v>58841763.956053592</v>
      </c>
      <c r="AI5" s="78" t="s">
        <v>53</v>
      </c>
      <c r="AJ5" s="79" t="s">
        <v>52</v>
      </c>
      <c r="AK5" s="71" t="s">
        <v>51</v>
      </c>
    </row>
    <row r="6" spans="1:37" s="71" customFormat="1" ht="15.75" customHeight="1">
      <c r="A6" s="75">
        <v>2</v>
      </c>
      <c r="B6" s="75" t="s">
        <v>54</v>
      </c>
      <c r="C6" s="104">
        <f>'2026年'!S8</f>
        <v>0</v>
      </c>
      <c r="D6" s="104">
        <f>'2027年'!S8</f>
        <v>0</v>
      </c>
      <c r="E6" s="104">
        <f>'2028年'!S8</f>
        <v>0</v>
      </c>
      <c r="F6" s="104">
        <f>'2029年'!S8</f>
        <v>0</v>
      </c>
      <c r="G6" s="104">
        <f>'2030年'!S8</f>
        <v>0</v>
      </c>
      <c r="H6" s="104">
        <f t="shared" si="0"/>
        <v>0</v>
      </c>
      <c r="AI6" s="78" t="s">
        <v>55</v>
      </c>
      <c r="AJ6" s="75" t="s">
        <v>56</v>
      </c>
      <c r="AK6" s="71" t="s">
        <v>51</v>
      </c>
    </row>
    <row r="7" spans="1:37" s="71" customFormat="1" ht="15.75" customHeight="1">
      <c r="A7" s="75">
        <v>3</v>
      </c>
      <c r="B7" s="79" t="s">
        <v>57</v>
      </c>
      <c r="C7" s="105">
        <f>'2026年'!S9</f>
        <v>11768352.791210718</v>
      </c>
      <c r="D7" s="105">
        <f>D5-D6</f>
        <v>11768352.791210718</v>
      </c>
      <c r="E7" s="105">
        <f>'2028年'!S9</f>
        <v>11768352.791210718</v>
      </c>
      <c r="F7" s="104">
        <f>'2029年'!S9</f>
        <v>11768352.791210718</v>
      </c>
      <c r="G7" s="104">
        <f>'2030年'!S9</f>
        <v>11768352.791210718</v>
      </c>
      <c r="H7" s="104">
        <f t="shared" si="0"/>
        <v>58841763.956053592</v>
      </c>
      <c r="AI7" s="78" t="s">
        <v>58</v>
      </c>
      <c r="AJ7" s="79" t="s">
        <v>57</v>
      </c>
      <c r="AK7" s="71" t="s">
        <v>59</v>
      </c>
    </row>
    <row r="8" spans="1:37" s="71" customFormat="1" ht="15.75" customHeight="1">
      <c r="A8" s="75">
        <v>4</v>
      </c>
      <c r="B8" s="220" t="s">
        <v>262</v>
      </c>
      <c r="C8" s="221">
        <f>'2026年'!S10</f>
        <v>8237846.9538475024</v>
      </c>
      <c r="D8" s="221">
        <f>'2027年'!S10</f>
        <v>8237846.9538475024</v>
      </c>
      <c r="E8" s="222">
        <f>'2028年'!S10</f>
        <v>8237846.9538475024</v>
      </c>
      <c r="F8" s="221">
        <f>'2029年'!S10</f>
        <v>8237846.9538475024</v>
      </c>
      <c r="G8" s="221">
        <f>'2030年'!S10</f>
        <v>8237846.9538475024</v>
      </c>
      <c r="H8" s="221">
        <f t="shared" si="0"/>
        <v>41189234.769237511</v>
      </c>
      <c r="AI8" s="78" t="s">
        <v>60</v>
      </c>
      <c r="AJ8" s="78" t="s">
        <v>61</v>
      </c>
      <c r="AK8" s="71" t="s">
        <v>62</v>
      </c>
    </row>
    <row r="9" spans="1:37" s="71" customFormat="1" ht="15.75" customHeight="1">
      <c r="A9" s="75">
        <v>5</v>
      </c>
      <c r="B9" s="78" t="s">
        <v>63</v>
      </c>
      <c r="C9" s="104">
        <f>'2026年'!S11</f>
        <v>939114.55273861531</v>
      </c>
      <c r="D9" s="104">
        <f>'2027年'!S11</f>
        <v>939114.55273861531</v>
      </c>
      <c r="E9" s="105">
        <f>'2028年'!S11</f>
        <v>939114.55273861531</v>
      </c>
      <c r="F9" s="104">
        <f>'2029年'!S11</f>
        <v>939114.55273861531</v>
      </c>
      <c r="G9" s="104">
        <f>'2030年'!S11</f>
        <v>939114.55273861531</v>
      </c>
      <c r="H9" s="104">
        <f t="shared" si="0"/>
        <v>4695572.7636930766</v>
      </c>
      <c r="AI9" s="78" t="s">
        <v>64</v>
      </c>
      <c r="AJ9" s="78" t="s">
        <v>63</v>
      </c>
    </row>
    <row r="10" spans="1:37" s="71" customFormat="1" ht="15.75" customHeight="1">
      <c r="A10" s="75">
        <v>6</v>
      </c>
      <c r="B10" s="78" t="s">
        <v>65</v>
      </c>
      <c r="C10" s="104">
        <f>'2026年'!S12</f>
        <v>617838.52153856284</v>
      </c>
      <c r="D10" s="104">
        <f>'2027年'!S12</f>
        <v>617838.52153856284</v>
      </c>
      <c r="E10" s="105">
        <f>'2028年'!S12</f>
        <v>617838.52153856284</v>
      </c>
      <c r="F10" s="104">
        <f>'2029年'!S12</f>
        <v>617838.52153856284</v>
      </c>
      <c r="G10" s="104">
        <f>'2030年'!S12</f>
        <v>617838.52153856284</v>
      </c>
      <c r="H10" s="104">
        <f t="shared" si="0"/>
        <v>3089192.6076928144</v>
      </c>
      <c r="AI10" s="78" t="s">
        <v>66</v>
      </c>
      <c r="AJ10" s="78" t="s">
        <v>65</v>
      </c>
    </row>
    <row r="11" spans="1:37" s="71" customFormat="1" ht="15.75" customHeight="1">
      <c r="A11" s="75">
        <v>7</v>
      </c>
      <c r="B11" s="78" t="s">
        <v>67</v>
      </c>
      <c r="C11" s="104">
        <f>'2026年'!S13</f>
        <v>275379.45531433076</v>
      </c>
      <c r="D11" s="104">
        <f>'2027年'!S13</f>
        <v>275379.45531433076</v>
      </c>
      <c r="E11" s="105">
        <f>'2028年'!S13</f>
        <v>275379.45531433076</v>
      </c>
      <c r="F11" s="104">
        <f>'2029年'!S13</f>
        <v>275379.45531433076</v>
      </c>
      <c r="G11" s="104">
        <f>'2030年'!S13</f>
        <v>275379.45531433076</v>
      </c>
      <c r="H11" s="104">
        <f>SUM(C11:G11)</f>
        <v>1376897.2765716538</v>
      </c>
      <c r="AI11" s="78" t="s">
        <v>68</v>
      </c>
      <c r="AJ11" s="78" t="s">
        <v>67</v>
      </c>
      <c r="AK11" s="71" t="s">
        <v>51</v>
      </c>
    </row>
    <row r="12" spans="1:37" s="71" customFormat="1" ht="15.75" customHeight="1">
      <c r="A12" s="75">
        <v>8</v>
      </c>
      <c r="B12" s="223" t="s">
        <v>69</v>
      </c>
      <c r="C12" s="222">
        <f>SUM(C9:C11)</f>
        <v>1832332.5295915089</v>
      </c>
      <c r="D12" s="222">
        <f t="shared" ref="D12:H12" si="1">SUM(D9:D11)</f>
        <v>1832332.5295915089</v>
      </c>
      <c r="E12" s="222">
        <f t="shared" si="1"/>
        <v>1832332.5295915089</v>
      </c>
      <c r="F12" s="222">
        <f t="shared" si="1"/>
        <v>1832332.5295915089</v>
      </c>
      <c r="G12" s="222">
        <f t="shared" si="1"/>
        <v>1832332.5295915089</v>
      </c>
      <c r="H12" s="222">
        <f t="shared" si="1"/>
        <v>9161662.6479575448</v>
      </c>
      <c r="AI12" s="78" t="s">
        <v>70</v>
      </c>
      <c r="AJ12" s="83" t="s">
        <v>69</v>
      </c>
    </row>
    <row r="13" spans="1:37" s="71" customFormat="1" ht="15.75" customHeight="1">
      <c r="A13" s="75">
        <v>9</v>
      </c>
      <c r="B13" s="106" t="s">
        <v>71</v>
      </c>
      <c r="C13" s="104">
        <f>'2026年'!S15</f>
        <v>1698173.3077717072</v>
      </c>
      <c r="D13" s="104">
        <f>'2027年'!S15</f>
        <v>1698173.3077717072</v>
      </c>
      <c r="E13" s="105">
        <f>'2028年'!S15</f>
        <v>1698173.3077717072</v>
      </c>
      <c r="F13" s="104">
        <f>'2029年'!S15</f>
        <v>1698173.3077717072</v>
      </c>
      <c r="G13" s="104">
        <f>'2030年'!S15</f>
        <v>1698173.3077717072</v>
      </c>
      <c r="H13" s="104">
        <f>SUM(C13:G13)</f>
        <v>8490866.5388585366</v>
      </c>
      <c r="J13" s="101"/>
      <c r="K13" s="101"/>
      <c r="L13" s="101"/>
      <c r="M13" s="101"/>
      <c r="N13" s="101"/>
      <c r="O13" s="101"/>
      <c r="AI13" s="78" t="s">
        <v>72</v>
      </c>
      <c r="AJ13" s="83" t="s">
        <v>71</v>
      </c>
    </row>
    <row r="14" spans="1:37" ht="15.75" customHeight="1">
      <c r="A14" s="75">
        <v>10</v>
      </c>
      <c r="B14" s="107" t="s">
        <v>73</v>
      </c>
      <c r="C14" s="108">
        <f>+C13/C7</f>
        <v>0.14430000000000004</v>
      </c>
      <c r="D14" s="108">
        <f>+D13/D7</f>
        <v>0.14430000000000004</v>
      </c>
      <c r="E14" s="108">
        <f t="shared" ref="E14:F14" si="2">+E13/E7</f>
        <v>0.14430000000000004</v>
      </c>
      <c r="F14" s="108">
        <f t="shared" si="2"/>
        <v>0.14430000000000004</v>
      </c>
      <c r="G14" s="108">
        <f>+G13/G7</f>
        <v>0.14430000000000004</v>
      </c>
      <c r="H14" s="108">
        <f>+H13/H7</f>
        <v>0.14430000000000007</v>
      </c>
      <c r="AI14" s="107" t="s">
        <v>74</v>
      </c>
      <c r="AJ14" s="107" t="s">
        <v>73</v>
      </c>
    </row>
    <row r="15" spans="1:37" ht="15.75" customHeight="1">
      <c r="A15" s="75">
        <v>11</v>
      </c>
      <c r="B15" s="107" t="s">
        <v>75</v>
      </c>
      <c r="C15" s="104">
        <f>'2026年'!S17</f>
        <v>1010936.7316836384</v>
      </c>
      <c r="D15" s="104">
        <f>'2027年'!S17</f>
        <v>1010936.7316836384</v>
      </c>
      <c r="E15" s="105">
        <f>'2028年'!S17</f>
        <v>1010936.7316836384</v>
      </c>
      <c r="F15" s="104">
        <f>'2029年'!$S$17</f>
        <v>1010936.7316836384</v>
      </c>
      <c r="G15" s="104">
        <f>'2030年'!$S$17</f>
        <v>1010936.7316836384</v>
      </c>
      <c r="H15" s="104">
        <f>SUM(C15:G15)</f>
        <v>5054683.6584181916</v>
      </c>
      <c r="AI15" s="107" t="s">
        <v>76</v>
      </c>
      <c r="AJ15" s="107" t="s">
        <v>75</v>
      </c>
    </row>
    <row r="16" spans="1:37" ht="15.75" hidden="1" customHeight="1">
      <c r="A16" s="75"/>
      <c r="B16" s="107"/>
      <c r="C16" s="104"/>
      <c r="D16" s="104"/>
      <c r="E16" s="104"/>
      <c r="F16" s="104"/>
      <c r="G16" s="104"/>
      <c r="H16" s="104">
        <f>SUM(D16:F16)</f>
        <v>0</v>
      </c>
      <c r="AI16" s="107"/>
      <c r="AJ16" s="107"/>
    </row>
    <row r="17" spans="1:37" ht="15.75" customHeight="1">
      <c r="A17" s="75">
        <v>12</v>
      </c>
      <c r="B17" s="107" t="s">
        <v>77</v>
      </c>
      <c r="C17" s="109">
        <f>'2026年'!S19</f>
        <v>0</v>
      </c>
      <c r="D17" s="109">
        <f>'2027年'!S19</f>
        <v>0</v>
      </c>
      <c r="E17" s="109">
        <f>'2028年'!S19</f>
        <v>0</v>
      </c>
      <c r="F17" s="104">
        <f>'2029年'!S19</f>
        <v>0</v>
      </c>
      <c r="G17" s="104">
        <f>'2030年'!S19</f>
        <v>0</v>
      </c>
      <c r="H17" s="104">
        <f>SUM(C17:G17)</f>
        <v>0</v>
      </c>
      <c r="P17" s="82"/>
      <c r="AI17" s="107" t="s">
        <v>78</v>
      </c>
      <c r="AJ17" s="107" t="s">
        <v>77</v>
      </c>
      <c r="AK17" s="101" t="s">
        <v>51</v>
      </c>
    </row>
    <row r="18" spans="1:37" ht="15.75" customHeight="1">
      <c r="A18" s="75">
        <v>13</v>
      </c>
      <c r="B18" s="107" t="s">
        <v>79</v>
      </c>
      <c r="C18" s="109">
        <f>'2026年'!S20</f>
        <v>57664.928676932519</v>
      </c>
      <c r="D18" s="109">
        <f>'2027年'!S20</f>
        <v>57664.928676932519</v>
      </c>
      <c r="E18" s="109">
        <f>'2028年'!S20</f>
        <v>57664.928676932519</v>
      </c>
      <c r="F18" s="104">
        <f>'2029年'!S20</f>
        <v>57664.928676932519</v>
      </c>
      <c r="G18" s="104">
        <f>'2030年'!S20</f>
        <v>57664.928676932519</v>
      </c>
      <c r="H18" s="104">
        <f>SUM(C18:G18)</f>
        <v>288324.64338466257</v>
      </c>
      <c r="AI18" s="107" t="s">
        <v>80</v>
      </c>
      <c r="AJ18" s="107" t="s">
        <v>79</v>
      </c>
    </row>
    <row r="19" spans="1:37" s="73" customFormat="1" ht="15.75" customHeight="1">
      <c r="A19" s="75">
        <v>14</v>
      </c>
      <c r="B19" s="90" t="s">
        <v>81</v>
      </c>
      <c r="C19" s="110">
        <f>'2026年'!S21</f>
        <v>20000</v>
      </c>
      <c r="D19" s="110">
        <f>'2027年'!S21</f>
        <v>20000</v>
      </c>
      <c r="E19" s="110">
        <f>'2028年'!S21</f>
        <v>20000</v>
      </c>
      <c r="F19" s="110">
        <f>'2029年'!S21</f>
        <v>20000</v>
      </c>
      <c r="G19" s="104">
        <f>'2030年'!S21</f>
        <v>20000</v>
      </c>
      <c r="H19" s="104">
        <f>SUM(C19:G19)</f>
        <v>100000</v>
      </c>
      <c r="AI19" s="90"/>
      <c r="AJ19" s="90"/>
    </row>
    <row r="20" spans="1:37" s="71" customFormat="1" ht="15.75" customHeight="1">
      <c r="A20" s="75">
        <v>15</v>
      </c>
      <c r="B20" s="78" t="s">
        <v>82</v>
      </c>
      <c r="C20" s="109">
        <f>'2026年'!S22</f>
        <v>437782.7238330387</v>
      </c>
      <c r="D20" s="109">
        <f>'2027年'!S22</f>
        <v>437782.7238330387</v>
      </c>
      <c r="E20" s="109">
        <f>'2028年'!S22</f>
        <v>437782.7238330387</v>
      </c>
      <c r="F20" s="104">
        <f>'2029年'!S22</f>
        <v>437782.7238330387</v>
      </c>
      <c r="G20" s="104">
        <f>'2030年'!S22</f>
        <v>437782.7238330387</v>
      </c>
      <c r="H20" s="104">
        <f>SUM(C20:G20)</f>
        <v>2188913.6191651933</v>
      </c>
      <c r="AI20" s="78" t="s">
        <v>83</v>
      </c>
      <c r="AJ20" s="78" t="s">
        <v>82</v>
      </c>
    </row>
    <row r="21" spans="1:37" s="99" customFormat="1" ht="15.75" customHeight="1">
      <c r="A21" s="75">
        <v>16</v>
      </c>
      <c r="B21" s="224" t="s">
        <v>84</v>
      </c>
      <c r="C21" s="222">
        <f t="shared" ref="C21:G21" si="3">+C20+C19+C18+C17+C15</f>
        <v>1526384.3841936097</v>
      </c>
      <c r="D21" s="222">
        <f t="shared" si="3"/>
        <v>1526384.3841936097</v>
      </c>
      <c r="E21" s="222">
        <f t="shared" si="3"/>
        <v>1526384.3841936097</v>
      </c>
      <c r="F21" s="222">
        <f t="shared" si="3"/>
        <v>1526384.3841936097</v>
      </c>
      <c r="G21" s="222">
        <f t="shared" si="3"/>
        <v>1526384.3841936097</v>
      </c>
      <c r="H21" s="222">
        <f>+H20+H19+H18+H17+H15</f>
        <v>7631921.9209680473</v>
      </c>
      <c r="I21" s="233" t="s">
        <v>295</v>
      </c>
      <c r="AI21" s="120" t="s">
        <v>85</v>
      </c>
      <c r="AJ21" s="121" t="s">
        <v>84</v>
      </c>
    </row>
    <row r="22" spans="1:37" ht="15.75" customHeight="1">
      <c r="A22" s="75">
        <v>17</v>
      </c>
      <c r="B22" s="107" t="s">
        <v>86</v>
      </c>
      <c r="C22" s="110">
        <f>'2026年'!S24</f>
        <v>171788.92357809749</v>
      </c>
      <c r="D22" s="111">
        <f>'2027年'!S24</f>
        <v>171788.92357809749</v>
      </c>
      <c r="E22" s="111">
        <f>'2028年'!S24</f>
        <v>171788.92357809772</v>
      </c>
      <c r="F22" s="104">
        <f>'2029年'!$S$24</f>
        <v>171788.92357809749</v>
      </c>
      <c r="G22" s="104">
        <f>'2030年'!$S$24</f>
        <v>171788.92357809749</v>
      </c>
      <c r="H22" s="104">
        <f>SUM(C22:G22)</f>
        <v>858944.61789048766</v>
      </c>
      <c r="I22" s="232">
        <f>H7-H8-H12-H21</f>
        <v>858944.61789048929</v>
      </c>
      <c r="AI22" s="107" t="s">
        <v>87</v>
      </c>
      <c r="AJ22" s="107" t="s">
        <v>86</v>
      </c>
    </row>
    <row r="23" spans="1:37" ht="15.75" customHeight="1">
      <c r="A23" s="75">
        <v>18</v>
      </c>
      <c r="B23" s="107" t="s">
        <v>35</v>
      </c>
      <c r="C23" s="110">
        <f>'2026年'!S25</f>
        <v>25768.338536714622</v>
      </c>
      <c r="D23" s="111">
        <f>'2027年'!S25</f>
        <v>25768.338536714622</v>
      </c>
      <c r="E23" s="111">
        <f>'2028年'!S25</f>
        <v>25768.338536714658</v>
      </c>
      <c r="F23" s="104">
        <f>'2029年'!S25</f>
        <v>25768.338536714622</v>
      </c>
      <c r="G23" s="104">
        <f>'2030年'!S25</f>
        <v>25768.338536714622</v>
      </c>
      <c r="H23" s="104">
        <f t="shared" ref="H23" si="4">IF(H22&lt;0,0,H22*0.15)</f>
        <v>128841.69268357314</v>
      </c>
      <c r="AI23" s="107" t="s">
        <v>88</v>
      </c>
      <c r="AJ23" s="107" t="s">
        <v>35</v>
      </c>
    </row>
    <row r="24" spans="1:37" ht="15.75" customHeight="1">
      <c r="A24" s="75">
        <v>19</v>
      </c>
      <c r="B24" s="107" t="s">
        <v>89</v>
      </c>
      <c r="C24" s="110">
        <f>'2026年'!S26</f>
        <v>146020.58504138305</v>
      </c>
      <c r="D24" s="111">
        <f>'2027年'!S26</f>
        <v>146020.58504138287</v>
      </c>
      <c r="E24" s="111">
        <f>'2028年'!S26</f>
        <v>146020.58504138305</v>
      </c>
      <c r="F24" s="104">
        <f>'2029年'!S26</f>
        <v>146020.58504138287</v>
      </c>
      <c r="G24" s="104">
        <f>'2030年'!S26</f>
        <v>146020.58504138287</v>
      </c>
      <c r="H24" s="104">
        <f>H22-H23</f>
        <v>730102.92520691454</v>
      </c>
      <c r="AI24" s="107" t="s">
        <v>90</v>
      </c>
      <c r="AJ24" s="107" t="s">
        <v>89</v>
      </c>
    </row>
    <row r="25" spans="1:37" ht="15.75" customHeight="1">
      <c r="A25" s="75">
        <v>20</v>
      </c>
      <c r="B25" s="107" t="s">
        <v>91</v>
      </c>
      <c r="C25" s="112">
        <f>C24/C7</f>
        <v>1.2407903436616857E-2</v>
      </c>
      <c r="D25" s="112">
        <f t="shared" ref="D25:G25" si="5">D24/D7</f>
        <v>1.2407903436616841E-2</v>
      </c>
      <c r="E25" s="112">
        <f>E24/E7</f>
        <v>1.2407903436616857E-2</v>
      </c>
      <c r="F25" s="112">
        <f t="shared" si="5"/>
        <v>1.2407903436616841E-2</v>
      </c>
      <c r="G25" s="112">
        <f t="shared" si="5"/>
        <v>1.2407903436616841E-2</v>
      </c>
      <c r="H25" s="112">
        <f>H24/H7</f>
        <v>1.2407903436616845E-2</v>
      </c>
      <c r="AI25" s="122" t="s">
        <v>92</v>
      </c>
      <c r="AJ25" s="122" t="s">
        <v>93</v>
      </c>
    </row>
    <row r="26" spans="1:37" s="100" customFormat="1" ht="15.75" customHeight="1">
      <c r="D26" s="113"/>
      <c r="E26" s="113"/>
      <c r="F26" s="113"/>
      <c r="G26" s="113"/>
      <c r="H26" s="113"/>
    </row>
    <row r="27" spans="1:37" s="100" customFormat="1" ht="15.75" customHeight="1">
      <c r="A27" s="100" t="s">
        <v>94</v>
      </c>
      <c r="D27" s="114"/>
      <c r="E27" s="114"/>
      <c r="F27" s="114"/>
      <c r="G27" s="114"/>
      <c r="H27" s="114"/>
      <c r="AI27" s="100" t="s">
        <v>94</v>
      </c>
    </row>
    <row r="28" spans="1:37" ht="25.5" customHeight="1">
      <c r="A28" s="107" t="s">
        <v>18</v>
      </c>
      <c r="B28" s="169" t="s">
        <v>1</v>
      </c>
      <c r="C28" s="103" t="str">
        <f>C3</f>
        <v>2026年</v>
      </c>
      <c r="D28" s="103" t="str">
        <f t="shared" ref="D28:G28" si="6">D3</f>
        <v>2027年</v>
      </c>
      <c r="E28" s="103" t="str">
        <f t="shared" si="6"/>
        <v>2028年</v>
      </c>
      <c r="F28" s="103" t="str">
        <f t="shared" si="6"/>
        <v>2029年</v>
      </c>
      <c r="G28" s="103" t="str">
        <f t="shared" si="6"/>
        <v>2030年</v>
      </c>
      <c r="H28" s="119" t="s">
        <v>49</v>
      </c>
      <c r="AK28" s="101" t="s">
        <v>50</v>
      </c>
    </row>
    <row r="29" spans="1:37" s="71" customFormat="1" ht="15.75" customHeight="1">
      <c r="A29" s="78" t="s">
        <v>95</v>
      </c>
      <c r="B29" s="83" t="s">
        <v>96</v>
      </c>
      <c r="C29" s="83"/>
      <c r="D29" s="89"/>
      <c r="E29" s="89"/>
      <c r="F29" s="89"/>
      <c r="G29" s="89"/>
      <c r="H29" s="89"/>
      <c r="AI29" s="78" t="s">
        <v>97</v>
      </c>
      <c r="AJ29" s="83" t="s">
        <v>96</v>
      </c>
    </row>
    <row r="30" spans="1:37" s="71" customFormat="1" ht="15.75" customHeight="1">
      <c r="A30" s="78" t="s">
        <v>53</v>
      </c>
      <c r="B30" s="78" t="s">
        <v>98</v>
      </c>
      <c r="C30" s="81">
        <f>+C7/C4</f>
        <v>294.20881978026796</v>
      </c>
      <c r="D30" s="81">
        <f t="shared" ref="D30:H30" si="7">+D7/D4</f>
        <v>294.20881978026796</v>
      </c>
      <c r="E30" s="81">
        <f t="shared" si="7"/>
        <v>294.20881978026796</v>
      </c>
      <c r="F30" s="81">
        <f t="shared" si="7"/>
        <v>294.20881978026796</v>
      </c>
      <c r="G30" s="81">
        <f t="shared" si="7"/>
        <v>294.20881978026796</v>
      </c>
      <c r="H30" s="81">
        <f t="shared" si="7"/>
        <v>294.20881978026796</v>
      </c>
      <c r="AI30" s="78" t="s">
        <v>53</v>
      </c>
      <c r="AJ30" s="78" t="s">
        <v>98</v>
      </c>
    </row>
    <row r="31" spans="1:37" s="71" customFormat="1" ht="15.75" customHeight="1">
      <c r="A31" s="78" t="s">
        <v>55</v>
      </c>
      <c r="B31" s="78" t="s">
        <v>99</v>
      </c>
      <c r="C31" s="81">
        <f>+C8/C4</f>
        <v>205.94617384618755</v>
      </c>
      <c r="D31" s="81">
        <f t="shared" ref="D31:H31" si="8">+D8/D4</f>
        <v>205.94617384618755</v>
      </c>
      <c r="E31" s="81">
        <f t="shared" si="8"/>
        <v>205.94617384618755</v>
      </c>
      <c r="F31" s="81">
        <f t="shared" si="8"/>
        <v>205.94617384618755</v>
      </c>
      <c r="G31" s="81">
        <f t="shared" si="8"/>
        <v>205.94617384618755</v>
      </c>
      <c r="H31" s="81">
        <f t="shared" si="8"/>
        <v>205.94617384618755</v>
      </c>
      <c r="AI31" s="78" t="s">
        <v>55</v>
      </c>
      <c r="AJ31" s="78" t="s">
        <v>99</v>
      </c>
    </row>
    <row r="32" spans="1:37" s="71" customFormat="1" ht="15.75" customHeight="1">
      <c r="A32" s="78" t="s">
        <v>100</v>
      </c>
      <c r="B32" s="78" t="s">
        <v>101</v>
      </c>
      <c r="C32" s="89">
        <f>C30-C31</f>
        <v>88.26264593408041</v>
      </c>
      <c r="D32" s="89">
        <f t="shared" ref="D32:H32" si="9">D30-D31</f>
        <v>88.26264593408041</v>
      </c>
      <c r="E32" s="89">
        <f t="shared" si="9"/>
        <v>88.26264593408041</v>
      </c>
      <c r="F32" s="89">
        <f t="shared" si="9"/>
        <v>88.26264593408041</v>
      </c>
      <c r="G32" s="89">
        <f t="shared" si="9"/>
        <v>88.26264593408041</v>
      </c>
      <c r="H32" s="89">
        <f t="shared" si="9"/>
        <v>88.26264593408041</v>
      </c>
      <c r="AI32" s="78" t="s">
        <v>100</v>
      </c>
      <c r="AJ32" s="78" t="s">
        <v>101</v>
      </c>
    </row>
    <row r="33" spans="1:36" s="71" customFormat="1" ht="15.75" customHeight="1">
      <c r="A33" s="78">
        <v>3.1</v>
      </c>
      <c r="B33" s="78" t="s">
        <v>102</v>
      </c>
      <c r="C33" s="84">
        <f>C32/C30</f>
        <v>0.3000000000000001</v>
      </c>
      <c r="D33" s="84">
        <f t="shared" ref="D33:H33" si="10">D32/D30</f>
        <v>0.3000000000000001</v>
      </c>
      <c r="E33" s="84">
        <f t="shared" si="10"/>
        <v>0.3000000000000001</v>
      </c>
      <c r="F33" s="84">
        <f t="shared" si="10"/>
        <v>0.3000000000000001</v>
      </c>
      <c r="G33" s="84">
        <f t="shared" si="10"/>
        <v>0.3000000000000001</v>
      </c>
      <c r="H33" s="84">
        <f t="shared" si="10"/>
        <v>0.3000000000000001</v>
      </c>
      <c r="AI33" s="78"/>
      <c r="AJ33" s="78"/>
    </row>
    <row r="34" spans="1:36" s="71" customFormat="1" ht="15.75" customHeight="1">
      <c r="A34" s="78" t="s">
        <v>97</v>
      </c>
      <c r="B34" s="83" t="s">
        <v>9</v>
      </c>
      <c r="C34" s="89"/>
      <c r="D34" s="89"/>
      <c r="E34" s="89"/>
      <c r="F34" s="89"/>
      <c r="G34" s="89"/>
      <c r="H34" s="89"/>
      <c r="AI34" s="78" t="s">
        <v>103</v>
      </c>
      <c r="AJ34" s="83" t="s">
        <v>9</v>
      </c>
    </row>
    <row r="35" spans="1:36" s="71" customFormat="1" ht="15.75" customHeight="1">
      <c r="A35" s="78" t="s">
        <v>53</v>
      </c>
      <c r="B35" s="90" t="s">
        <v>104</v>
      </c>
      <c r="C35" s="81">
        <f>+C9/C4</f>
        <v>23.477863818465384</v>
      </c>
      <c r="D35" s="81">
        <f t="shared" ref="D35:H35" si="11">+D9/D4</f>
        <v>23.477863818465384</v>
      </c>
      <c r="E35" s="81">
        <f t="shared" si="11"/>
        <v>23.477863818465384</v>
      </c>
      <c r="F35" s="81">
        <f t="shared" si="11"/>
        <v>23.477863818465384</v>
      </c>
      <c r="G35" s="81">
        <f t="shared" si="11"/>
        <v>23.477863818465384</v>
      </c>
      <c r="H35" s="81">
        <f t="shared" si="11"/>
        <v>23.477863818465384</v>
      </c>
      <c r="AI35" s="78" t="s">
        <v>100</v>
      </c>
      <c r="AJ35" s="78" t="s">
        <v>104</v>
      </c>
    </row>
    <row r="36" spans="1:36" s="71" customFormat="1" ht="15.75" customHeight="1">
      <c r="A36" s="78" t="s">
        <v>55</v>
      </c>
      <c r="B36" s="90" t="s">
        <v>105</v>
      </c>
      <c r="C36" s="81">
        <f>+C10/C4</f>
        <v>15.445963038464072</v>
      </c>
      <c r="D36" s="81">
        <f t="shared" ref="D36:H36" si="12">+D10/D4</f>
        <v>15.445963038464072</v>
      </c>
      <c r="E36" s="81">
        <f t="shared" si="12"/>
        <v>15.445963038464072</v>
      </c>
      <c r="F36" s="81">
        <f t="shared" si="12"/>
        <v>15.445963038464072</v>
      </c>
      <c r="G36" s="81">
        <f t="shared" si="12"/>
        <v>15.445963038464072</v>
      </c>
      <c r="H36" s="81">
        <f t="shared" si="12"/>
        <v>15.445963038464072</v>
      </c>
      <c r="AI36" s="78" t="s">
        <v>58</v>
      </c>
      <c r="AJ36" s="78" t="s">
        <v>105</v>
      </c>
    </row>
    <row r="37" spans="1:36" s="71" customFormat="1" ht="15.75" customHeight="1">
      <c r="A37" s="78" t="s">
        <v>100</v>
      </c>
      <c r="B37" s="90" t="s">
        <v>106</v>
      </c>
      <c r="C37" s="81">
        <f>+C11/C4</f>
        <v>6.8844863828582685</v>
      </c>
      <c r="D37" s="81">
        <f t="shared" ref="D37:H37" si="13">+D11/D4</f>
        <v>6.8844863828582685</v>
      </c>
      <c r="E37" s="81">
        <f t="shared" si="13"/>
        <v>6.8844863828582685</v>
      </c>
      <c r="F37" s="81">
        <f t="shared" si="13"/>
        <v>6.8844863828582685</v>
      </c>
      <c r="G37" s="81">
        <f t="shared" si="13"/>
        <v>6.8844863828582685</v>
      </c>
      <c r="H37" s="81">
        <f t="shared" si="13"/>
        <v>6.8844863828582685</v>
      </c>
      <c r="AI37" s="78" t="s">
        <v>64</v>
      </c>
      <c r="AJ37" s="78" t="s">
        <v>106</v>
      </c>
    </row>
    <row r="38" spans="1:36" s="71" customFormat="1" ht="15.75" customHeight="1">
      <c r="A38" s="78" t="s">
        <v>107</v>
      </c>
      <c r="B38" s="106" t="s">
        <v>108</v>
      </c>
      <c r="C38" s="81"/>
      <c r="D38" s="81"/>
      <c r="E38" s="81"/>
      <c r="F38" s="81"/>
      <c r="G38" s="81"/>
      <c r="H38" s="81"/>
      <c r="AI38" s="78" t="s">
        <v>107</v>
      </c>
      <c r="AJ38" s="83" t="s">
        <v>108</v>
      </c>
    </row>
    <row r="39" spans="1:36" s="71" customFormat="1">
      <c r="A39" s="78" t="s">
        <v>53</v>
      </c>
      <c r="B39" s="90" t="s">
        <v>263</v>
      </c>
      <c r="C39" s="81">
        <f>+C13/C4</f>
        <v>42.454332694292681</v>
      </c>
      <c r="D39" s="81">
        <f t="shared" ref="D39:H39" si="14">+D13/D4</f>
        <v>42.454332694292681</v>
      </c>
      <c r="E39" s="81">
        <f t="shared" si="14"/>
        <v>42.454332694292681</v>
      </c>
      <c r="F39" s="81">
        <f t="shared" si="14"/>
        <v>42.454332694292681</v>
      </c>
      <c r="G39" s="81">
        <f t="shared" si="14"/>
        <v>42.454332694292681</v>
      </c>
      <c r="H39" s="81">
        <f t="shared" si="14"/>
        <v>42.454332694292681</v>
      </c>
      <c r="AI39" s="78" t="s">
        <v>53</v>
      </c>
      <c r="AJ39" s="78" t="s">
        <v>109</v>
      </c>
    </row>
    <row r="40" spans="1:36" s="71" customFormat="1" ht="15.75" customHeight="1">
      <c r="A40" s="78" t="s">
        <v>55</v>
      </c>
      <c r="B40" s="90" t="s">
        <v>110</v>
      </c>
      <c r="C40" s="104">
        <f>+C21/C39</f>
        <v>35953.559679877108</v>
      </c>
      <c r="D40" s="104">
        <f t="shared" ref="D40:H40" si="15">+D21/D39</f>
        <v>35953.559679877108</v>
      </c>
      <c r="E40" s="104">
        <f t="shared" si="15"/>
        <v>35953.559679877108</v>
      </c>
      <c r="F40" s="104">
        <f t="shared" si="15"/>
        <v>35953.559679877108</v>
      </c>
      <c r="G40" s="104">
        <f t="shared" si="15"/>
        <v>35953.559679877108</v>
      </c>
      <c r="H40" s="104">
        <f t="shared" si="15"/>
        <v>179767.7983993855</v>
      </c>
      <c r="AI40" s="78" t="s">
        <v>55</v>
      </c>
      <c r="AJ40" s="78" t="s">
        <v>110</v>
      </c>
    </row>
    <row r="41" spans="1:36" s="71" customFormat="1" ht="15.75" customHeight="1">
      <c r="A41" s="78" t="s">
        <v>111</v>
      </c>
      <c r="B41" s="83" t="s">
        <v>112</v>
      </c>
      <c r="C41" s="89"/>
      <c r="D41" s="89"/>
      <c r="E41" s="89"/>
      <c r="F41" s="89"/>
      <c r="G41" s="89"/>
      <c r="H41" s="89"/>
      <c r="AI41" s="78" t="s">
        <v>111</v>
      </c>
      <c r="AJ41" s="83" t="s">
        <v>112</v>
      </c>
    </row>
    <row r="42" spans="1:36" s="71" customFormat="1" ht="15.75" customHeight="1">
      <c r="A42" s="78" t="s">
        <v>53</v>
      </c>
      <c r="B42" s="78" t="s">
        <v>113</v>
      </c>
      <c r="C42" s="89">
        <f>+C15/C4</f>
        <v>25.273418292090959</v>
      </c>
      <c r="D42" s="89">
        <f t="shared" ref="D42:H42" si="16">+D15/D4</f>
        <v>25.273418292090959</v>
      </c>
      <c r="E42" s="89">
        <f t="shared" si="16"/>
        <v>25.273418292090959</v>
      </c>
      <c r="F42" s="89">
        <f t="shared" si="16"/>
        <v>25.273418292090959</v>
      </c>
      <c r="G42" s="89">
        <f t="shared" si="16"/>
        <v>25.273418292090959</v>
      </c>
      <c r="H42" s="89">
        <f t="shared" si="16"/>
        <v>25.273418292090959</v>
      </c>
      <c r="AI42" s="78" t="s">
        <v>53</v>
      </c>
      <c r="AJ42" s="78" t="s">
        <v>113</v>
      </c>
    </row>
    <row r="43" spans="1:36" s="71" customFormat="1" ht="15.75" customHeight="1">
      <c r="A43" s="78" t="s">
        <v>55</v>
      </c>
      <c r="B43" s="78" t="s">
        <v>114</v>
      </c>
      <c r="C43" s="89">
        <f>+C17/C4</f>
        <v>0</v>
      </c>
      <c r="D43" s="89">
        <f t="shared" ref="D43:H43" si="17">+D17/D4</f>
        <v>0</v>
      </c>
      <c r="E43" s="89">
        <f t="shared" si="17"/>
        <v>0</v>
      </c>
      <c r="F43" s="89">
        <f t="shared" si="17"/>
        <v>0</v>
      </c>
      <c r="G43" s="89">
        <f t="shared" si="17"/>
        <v>0</v>
      </c>
      <c r="H43" s="89">
        <f t="shared" si="17"/>
        <v>0</v>
      </c>
      <c r="AI43" s="78" t="s">
        <v>55</v>
      </c>
      <c r="AJ43" s="78" t="s">
        <v>114</v>
      </c>
    </row>
    <row r="44" spans="1:36" s="71" customFormat="1" ht="15.75" customHeight="1">
      <c r="A44" s="78" t="s">
        <v>100</v>
      </c>
      <c r="B44" s="78" t="s">
        <v>115</v>
      </c>
      <c r="C44" s="89">
        <f>+C18/C4</f>
        <v>1.441623216923313</v>
      </c>
      <c r="D44" s="89">
        <f t="shared" ref="D44:H44" si="18">+D18/D4</f>
        <v>1.441623216923313</v>
      </c>
      <c r="E44" s="89">
        <f t="shared" si="18"/>
        <v>1.441623216923313</v>
      </c>
      <c r="F44" s="89">
        <f t="shared" si="18"/>
        <v>1.441623216923313</v>
      </c>
      <c r="G44" s="89">
        <f t="shared" si="18"/>
        <v>1.441623216923313</v>
      </c>
      <c r="H44" s="89">
        <f t="shared" si="18"/>
        <v>1.441623216923313</v>
      </c>
      <c r="AI44" s="78" t="s">
        <v>100</v>
      </c>
      <c r="AJ44" s="78" t="s">
        <v>115</v>
      </c>
    </row>
    <row r="45" spans="1:36" s="71" customFormat="1" ht="15.75" customHeight="1">
      <c r="A45" s="78" t="s">
        <v>58</v>
      </c>
      <c r="B45" s="78" t="s">
        <v>116</v>
      </c>
      <c r="C45" s="89">
        <f>C19/C4</f>
        <v>0.5</v>
      </c>
      <c r="D45" s="89">
        <f t="shared" ref="D45:H45" si="19">D19/D4</f>
        <v>0.5</v>
      </c>
      <c r="E45" s="89">
        <f t="shared" si="19"/>
        <v>0.5</v>
      </c>
      <c r="F45" s="89">
        <f t="shared" si="19"/>
        <v>0.5</v>
      </c>
      <c r="G45" s="89">
        <f t="shared" si="19"/>
        <v>0.5</v>
      </c>
      <c r="H45" s="89">
        <f t="shared" si="19"/>
        <v>0.5</v>
      </c>
      <c r="AI45" s="78" t="s">
        <v>58</v>
      </c>
      <c r="AJ45" s="78" t="s">
        <v>117</v>
      </c>
    </row>
    <row r="46" spans="1:36" s="71" customFormat="1" ht="15.75" customHeight="1">
      <c r="A46" s="78" t="s">
        <v>60</v>
      </c>
      <c r="B46" s="78" t="s">
        <v>118</v>
      </c>
      <c r="C46" s="89">
        <f>C20/C4</f>
        <v>10.944568095825968</v>
      </c>
      <c r="D46" s="89">
        <f t="shared" ref="D46:H46" si="20">D20/D4</f>
        <v>10.944568095825968</v>
      </c>
      <c r="E46" s="89">
        <f t="shared" si="20"/>
        <v>10.944568095825968</v>
      </c>
      <c r="F46" s="89">
        <f t="shared" si="20"/>
        <v>10.944568095825968</v>
      </c>
      <c r="G46" s="89">
        <f t="shared" si="20"/>
        <v>10.944568095825968</v>
      </c>
      <c r="H46" s="89">
        <f t="shared" si="20"/>
        <v>10.944568095825966</v>
      </c>
      <c r="AI46" s="78" t="s">
        <v>60</v>
      </c>
      <c r="AJ46" s="78" t="s">
        <v>118</v>
      </c>
    </row>
    <row r="47" spans="1:36" s="71" customFormat="1" ht="15.75" customHeight="1">
      <c r="A47" s="78" t="s">
        <v>119</v>
      </c>
      <c r="B47" s="83" t="s">
        <v>120</v>
      </c>
      <c r="C47" s="89"/>
      <c r="D47" s="89"/>
      <c r="E47" s="89"/>
      <c r="F47" s="89"/>
      <c r="G47" s="89"/>
      <c r="H47" s="89"/>
      <c r="AI47" s="78" t="s">
        <v>119</v>
      </c>
      <c r="AJ47" s="83" t="s">
        <v>120</v>
      </c>
    </row>
    <row r="48" spans="1:36" s="71" customFormat="1" ht="15.75" customHeight="1">
      <c r="A48" s="78" t="s">
        <v>53</v>
      </c>
      <c r="B48" s="78" t="s">
        <v>121</v>
      </c>
      <c r="C48" s="92">
        <f>+(C11+C17)/C7</f>
        <v>2.3399999999999994E-2</v>
      </c>
      <c r="D48" s="92">
        <f t="shared" ref="D48:H48" si="21">+(D11+D17)/D7</f>
        <v>2.3399999999999994E-2</v>
      </c>
      <c r="E48" s="92">
        <f t="shared" si="21"/>
        <v>2.3399999999999994E-2</v>
      </c>
      <c r="F48" s="92">
        <f t="shared" si="21"/>
        <v>2.3399999999999994E-2</v>
      </c>
      <c r="G48" s="92">
        <f t="shared" si="21"/>
        <v>2.3399999999999994E-2</v>
      </c>
      <c r="H48" s="92">
        <f t="shared" si="21"/>
        <v>2.3399999999999994E-2</v>
      </c>
      <c r="AI48" s="78" t="s">
        <v>53</v>
      </c>
      <c r="AJ48" s="78" t="s">
        <v>121</v>
      </c>
    </row>
    <row r="49" spans="1:36" s="71" customFormat="1" ht="15.75" customHeight="1">
      <c r="A49" s="78" t="s">
        <v>55</v>
      </c>
      <c r="B49" s="78" t="s">
        <v>122</v>
      </c>
      <c r="C49" s="92">
        <f>+(C9+C10+C15)/C7</f>
        <v>0.2182029933601807</v>
      </c>
      <c r="D49" s="92">
        <f t="shared" ref="D49:H49" si="22">+(D9+D10+D15)/D7</f>
        <v>0.2182029933601807</v>
      </c>
      <c r="E49" s="92">
        <f t="shared" si="22"/>
        <v>0.2182029933601807</v>
      </c>
      <c r="F49" s="92">
        <f t="shared" si="22"/>
        <v>0.2182029933601807</v>
      </c>
      <c r="G49" s="92">
        <f t="shared" si="22"/>
        <v>0.2182029933601807</v>
      </c>
      <c r="H49" s="92">
        <f t="shared" si="22"/>
        <v>0.2182029933601807</v>
      </c>
      <c r="AI49" s="78" t="s">
        <v>55</v>
      </c>
      <c r="AJ49" s="78" t="s">
        <v>122</v>
      </c>
    </row>
    <row r="50" spans="1:36" s="71" customFormat="1" ht="15.75" customHeight="1">
      <c r="A50" s="78" t="s">
        <v>100</v>
      </c>
      <c r="B50" s="78" t="s">
        <v>123</v>
      </c>
      <c r="C50" s="92">
        <f>+C18/C7</f>
        <v>4.8999999999999998E-3</v>
      </c>
      <c r="D50" s="92">
        <f t="shared" ref="D50:H50" si="23">+D18/D7</f>
        <v>4.8999999999999998E-3</v>
      </c>
      <c r="E50" s="92">
        <f t="shared" si="23"/>
        <v>4.8999999999999998E-3</v>
      </c>
      <c r="F50" s="92">
        <f t="shared" si="23"/>
        <v>4.8999999999999998E-3</v>
      </c>
      <c r="G50" s="92">
        <f t="shared" si="23"/>
        <v>4.8999999999999998E-3</v>
      </c>
      <c r="H50" s="92">
        <f t="shared" si="23"/>
        <v>4.8999999999999998E-3</v>
      </c>
      <c r="AI50" s="78" t="s">
        <v>100</v>
      </c>
      <c r="AJ50" s="78" t="s">
        <v>123</v>
      </c>
    </row>
    <row r="51" spans="1:36" s="71" customFormat="1" ht="15.75" customHeight="1">
      <c r="A51" s="78" t="s">
        <v>58</v>
      </c>
      <c r="B51" s="78" t="s">
        <v>124</v>
      </c>
      <c r="C51" s="92">
        <f>+C19/C7</f>
        <v>1.6994731849759932E-3</v>
      </c>
      <c r="D51" s="92">
        <f t="shared" ref="D51:H51" si="24">+D19/D7</f>
        <v>1.6994731849759932E-3</v>
      </c>
      <c r="E51" s="92">
        <f t="shared" si="24"/>
        <v>1.6994731849759932E-3</v>
      </c>
      <c r="F51" s="92">
        <f t="shared" si="24"/>
        <v>1.6994731849759932E-3</v>
      </c>
      <c r="G51" s="92">
        <f t="shared" si="24"/>
        <v>1.6994731849759932E-3</v>
      </c>
      <c r="H51" s="92">
        <f t="shared" si="24"/>
        <v>1.6994731849759932E-3</v>
      </c>
      <c r="AI51" s="78" t="s">
        <v>58</v>
      </c>
      <c r="AJ51" s="78" t="s">
        <v>124</v>
      </c>
    </row>
    <row r="52" spans="1:36" s="71" customFormat="1" ht="15.75" customHeight="1">
      <c r="A52" s="78" t="s">
        <v>60</v>
      </c>
      <c r="B52" s="78" t="s">
        <v>125</v>
      </c>
      <c r="C52" s="92">
        <f>+C20/C7</f>
        <v>3.7199999999999997E-2</v>
      </c>
      <c r="D52" s="92">
        <f t="shared" ref="D52:H52" si="25">+D20/D7</f>
        <v>3.7199999999999997E-2</v>
      </c>
      <c r="E52" s="92">
        <f t="shared" si="25"/>
        <v>3.7199999999999997E-2</v>
      </c>
      <c r="F52" s="92">
        <f t="shared" si="25"/>
        <v>3.7199999999999997E-2</v>
      </c>
      <c r="G52" s="92">
        <f t="shared" si="25"/>
        <v>3.7199999999999997E-2</v>
      </c>
      <c r="H52" s="92">
        <f t="shared" si="25"/>
        <v>3.7199999999999997E-2</v>
      </c>
      <c r="AI52" s="78" t="s">
        <v>60</v>
      </c>
      <c r="AJ52" s="78" t="s">
        <v>125</v>
      </c>
    </row>
    <row r="53" spans="1:36" s="71" customFormat="1" ht="15.75" customHeight="1">
      <c r="A53" s="78" t="s">
        <v>64</v>
      </c>
      <c r="B53" s="78" t="s">
        <v>126</v>
      </c>
      <c r="C53" s="92">
        <f>+C24/C7</f>
        <v>1.2407903436616857E-2</v>
      </c>
      <c r="D53" s="92">
        <f t="shared" ref="D53:H53" si="26">+D24/D7</f>
        <v>1.2407903436616841E-2</v>
      </c>
      <c r="E53" s="92">
        <f t="shared" si="26"/>
        <v>1.2407903436616857E-2</v>
      </c>
      <c r="F53" s="92">
        <f t="shared" si="26"/>
        <v>1.2407903436616841E-2</v>
      </c>
      <c r="G53" s="92">
        <f t="shared" si="26"/>
        <v>1.2407903436616841E-2</v>
      </c>
      <c r="H53" s="92">
        <f t="shared" si="26"/>
        <v>1.2407903436616845E-2</v>
      </c>
      <c r="AI53" s="78" t="s">
        <v>64</v>
      </c>
      <c r="AJ53" s="78" t="s">
        <v>127</v>
      </c>
    </row>
    <row r="54" spans="1:36" s="71" customFormat="1" ht="15.75" customHeight="1">
      <c r="A54" s="78" t="s">
        <v>128</v>
      </c>
      <c r="B54" s="83" t="s">
        <v>129</v>
      </c>
      <c r="C54" s="89">
        <f>+C22/C4</f>
        <v>4.2947230894524369</v>
      </c>
      <c r="D54" s="89">
        <f t="shared" ref="D54:H54" si="27">+D22/D4</f>
        <v>4.2947230894524369</v>
      </c>
      <c r="E54" s="89">
        <f t="shared" si="27"/>
        <v>4.2947230894524431</v>
      </c>
      <c r="F54" s="89">
        <f t="shared" si="27"/>
        <v>4.2947230894524369</v>
      </c>
      <c r="G54" s="89">
        <f t="shared" si="27"/>
        <v>4.2947230894524369</v>
      </c>
      <c r="H54" s="89">
        <f t="shared" si="27"/>
        <v>4.2947230894524386</v>
      </c>
      <c r="AI54" s="78" t="s">
        <v>128</v>
      </c>
      <c r="AJ54" s="83" t="s">
        <v>129</v>
      </c>
    </row>
    <row r="55" spans="1:36" s="71" customFormat="1" ht="32.25" customHeight="1">
      <c r="A55" s="78" t="s">
        <v>130</v>
      </c>
      <c r="B55" s="115" t="s">
        <v>131</v>
      </c>
      <c r="C55" s="115"/>
      <c r="D55" s="89"/>
      <c r="E55" s="89"/>
      <c r="F55" s="89"/>
      <c r="G55" s="89"/>
      <c r="H55" s="89"/>
      <c r="AI55" s="78"/>
      <c r="AJ55" s="83"/>
    </row>
    <row r="56" spans="1:36" s="71" customFormat="1" ht="15.75" customHeight="1">
      <c r="A56" s="78" t="s">
        <v>53</v>
      </c>
      <c r="B56" s="78" t="s">
        <v>132</v>
      </c>
      <c r="C56" s="89">
        <f>C57+C58</f>
        <v>1500000</v>
      </c>
      <c r="D56" s="89"/>
      <c r="E56" s="89"/>
      <c r="F56" s="89"/>
      <c r="G56" s="89"/>
      <c r="H56" s="89"/>
    </row>
    <row r="57" spans="1:36" s="71" customFormat="1" ht="15.75" customHeight="1">
      <c r="A57" s="78">
        <v>1.1000000000000001</v>
      </c>
      <c r="B57" s="116" t="s">
        <v>133</v>
      </c>
      <c r="C57" s="89">
        <f>项目投资!B27</f>
        <v>100000</v>
      </c>
      <c r="D57" s="89"/>
      <c r="E57" s="89"/>
      <c r="F57" s="89"/>
      <c r="G57" s="89"/>
      <c r="H57" s="89"/>
    </row>
    <row r="58" spans="1:36" s="71" customFormat="1" ht="15.75" customHeight="1">
      <c r="A58" s="78">
        <v>1.2</v>
      </c>
      <c r="B58" s="78" t="s">
        <v>134</v>
      </c>
      <c r="C58" s="89">
        <f>项目投资!B26</f>
        <v>1400000</v>
      </c>
      <c r="D58" s="89"/>
      <c r="E58" s="89"/>
      <c r="F58" s="89"/>
      <c r="G58" s="89"/>
      <c r="H58" s="89"/>
    </row>
    <row r="59" spans="1:36" ht="15.75" customHeight="1">
      <c r="A59" s="107" t="s">
        <v>55</v>
      </c>
      <c r="B59" s="107" t="s">
        <v>135</v>
      </c>
      <c r="C59" s="117">
        <f>C60+C61</f>
        <v>146020.58504138305</v>
      </c>
      <c r="D59" s="117">
        <f t="shared" ref="D59:H59" si="28">D60+D61</f>
        <v>146020.58504138287</v>
      </c>
      <c r="E59" s="117">
        <f t="shared" si="28"/>
        <v>146020.58504138305</v>
      </c>
      <c r="F59" s="117">
        <f t="shared" si="28"/>
        <v>146020.58504138287</v>
      </c>
      <c r="G59" s="117">
        <f t="shared" si="28"/>
        <v>146020.58504138287</v>
      </c>
      <c r="H59" s="117">
        <f t="shared" si="28"/>
        <v>730102.92520691454</v>
      </c>
    </row>
    <row r="60" spans="1:36" ht="15.75" customHeight="1">
      <c r="A60" s="107" t="s">
        <v>100</v>
      </c>
      <c r="B60" s="107" t="s">
        <v>136</v>
      </c>
      <c r="C60" s="117">
        <f>C24</f>
        <v>146020.58504138305</v>
      </c>
      <c r="D60" s="117">
        <f t="shared" ref="D60:H60" si="29">D24</f>
        <v>146020.58504138287</v>
      </c>
      <c r="E60" s="117">
        <f t="shared" si="29"/>
        <v>146020.58504138305</v>
      </c>
      <c r="F60" s="117">
        <f t="shared" si="29"/>
        <v>146020.58504138287</v>
      </c>
      <c r="G60" s="117">
        <f t="shared" si="29"/>
        <v>146020.58504138287</v>
      </c>
      <c r="H60" s="117">
        <f t="shared" si="29"/>
        <v>730102.92520691454</v>
      </c>
    </row>
    <row r="61" spans="1:36" ht="15.75" customHeight="1">
      <c r="A61" s="107" t="s">
        <v>58</v>
      </c>
      <c r="B61" s="107" t="s">
        <v>137</v>
      </c>
      <c r="C61" s="107"/>
      <c r="D61" s="117">
        <f>'[2]2023年'!I18</f>
        <v>0</v>
      </c>
      <c r="E61" s="117"/>
      <c r="F61" s="117"/>
      <c r="G61" s="117"/>
      <c r="H61" s="117">
        <f>[2]项目投资!G26</f>
        <v>0</v>
      </c>
    </row>
    <row r="62" spans="1:36" ht="15.75" customHeight="1">
      <c r="A62" s="107" t="s">
        <v>60</v>
      </c>
      <c r="B62" s="107" t="s">
        <v>138</v>
      </c>
      <c r="C62" s="107"/>
      <c r="D62" s="118"/>
      <c r="E62" s="118"/>
      <c r="F62" s="118"/>
      <c r="G62" s="118"/>
      <c r="H62" s="117"/>
    </row>
    <row r="64" spans="1:36">
      <c r="B64"/>
      <c r="C64"/>
    </row>
  </sheetData>
  <mergeCells count="2">
    <mergeCell ref="A3:A4"/>
    <mergeCell ref="A1:H1"/>
  </mergeCells>
  <phoneticPr fontId="45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74"/>
  <sheetViews>
    <sheetView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E27" sqref="E27"/>
    </sheetView>
  </sheetViews>
  <sheetFormatPr defaultColWidth="9" defaultRowHeight="16.5"/>
  <cols>
    <col min="1" max="1" width="5.125" style="71" customWidth="1"/>
    <col min="2" max="2" width="17.5" style="71" customWidth="1"/>
    <col min="3" max="18" width="14.375" style="74" customWidth="1"/>
    <col min="19" max="19" width="18.75" style="74" customWidth="1"/>
    <col min="20" max="20" width="12.375" style="71" customWidth="1"/>
    <col min="21" max="21" width="10.125" style="71" customWidth="1"/>
    <col min="22" max="28" width="9" style="71" customWidth="1"/>
    <col min="29" max="42" width="9" style="71"/>
    <col min="43" max="43" width="4.375" style="71" customWidth="1"/>
    <col min="44" max="44" width="13.875" style="71" customWidth="1"/>
    <col min="45" max="16384" width="9" style="71"/>
  </cols>
  <sheetData>
    <row r="1" spans="1:45">
      <c r="A1" s="241" t="s">
        <v>139</v>
      </c>
      <c r="B1" s="241"/>
      <c r="C1" s="245" t="s">
        <v>257</v>
      </c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7"/>
    </row>
    <row r="2" spans="1:45" ht="18" customHeight="1">
      <c r="A2" s="241" t="s">
        <v>140</v>
      </c>
      <c r="B2" s="241"/>
      <c r="C2" s="248" t="s">
        <v>307</v>
      </c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</row>
    <row r="3" spans="1:45" ht="20.25" customHeight="1">
      <c r="A3" s="241" t="s">
        <v>141</v>
      </c>
      <c r="B3" s="241"/>
      <c r="C3" s="76" t="str">
        <f>销量!C5</f>
        <v>3.0海外出口配件靠背骨架-电动</v>
      </c>
      <c r="D3" s="76" t="str">
        <f>销量!D5</f>
        <v>3.0海外出口配件靠背骨架-手动</v>
      </c>
      <c r="E3" s="76">
        <f>销量!E5</f>
        <v>0</v>
      </c>
      <c r="F3" s="76">
        <f>销量!F5</f>
        <v>0</v>
      </c>
      <c r="G3" s="76">
        <f>销量!G5</f>
        <v>0</v>
      </c>
      <c r="H3" s="76">
        <f>销量!H5</f>
        <v>0</v>
      </c>
      <c r="I3" s="76">
        <f>销量!I5</f>
        <v>0</v>
      </c>
      <c r="J3" s="76">
        <f>销量!J5</f>
        <v>0</v>
      </c>
      <c r="K3" s="76">
        <f>销量!K5</f>
        <v>0</v>
      </c>
      <c r="L3" s="76">
        <f>销量!L5</f>
        <v>0</v>
      </c>
      <c r="M3" s="76">
        <f>销量!M5</f>
        <v>0</v>
      </c>
      <c r="N3" s="76">
        <f>销量!N5</f>
        <v>0</v>
      </c>
      <c r="O3" s="76">
        <f>销量!O5</f>
        <v>0</v>
      </c>
      <c r="P3" s="76">
        <f>销量!P5</f>
        <v>0</v>
      </c>
      <c r="Q3" s="76">
        <f>销量!Q5</f>
        <v>0</v>
      </c>
      <c r="R3" s="76">
        <f>销量!R5</f>
        <v>0</v>
      </c>
      <c r="S3" s="242" t="s">
        <v>49</v>
      </c>
    </row>
    <row r="4" spans="1:45">
      <c r="A4" s="241" t="s">
        <v>142</v>
      </c>
      <c r="B4" s="241"/>
      <c r="C4" s="76" t="str">
        <f>销量!C6</f>
        <v>/</v>
      </c>
      <c r="D4" s="76" t="str">
        <f>销量!D6</f>
        <v>/</v>
      </c>
      <c r="E4" s="76">
        <f>销量!E6</f>
        <v>0</v>
      </c>
      <c r="F4" s="76">
        <f>销量!F6</f>
        <v>0</v>
      </c>
      <c r="G4" s="76">
        <f>销量!G6</f>
        <v>0</v>
      </c>
      <c r="H4" s="76">
        <f>销量!H6</f>
        <v>0</v>
      </c>
      <c r="I4" s="76">
        <f>销量!I6</f>
        <v>0</v>
      </c>
      <c r="J4" s="76">
        <f>销量!J6</f>
        <v>0</v>
      </c>
      <c r="K4" s="76">
        <f>销量!K6</f>
        <v>0</v>
      </c>
      <c r="L4" s="76">
        <f>销量!L6</f>
        <v>0</v>
      </c>
      <c r="M4" s="76">
        <f>销量!M6</f>
        <v>0</v>
      </c>
      <c r="N4" s="76">
        <f>销量!N6</f>
        <v>0</v>
      </c>
      <c r="O4" s="76">
        <f>销量!O6</f>
        <v>0</v>
      </c>
      <c r="P4" s="76">
        <f>销量!P6</f>
        <v>0</v>
      </c>
      <c r="Q4" s="76">
        <f>销量!Q6</f>
        <v>0</v>
      </c>
      <c r="R4" s="76">
        <f>销量!R6</f>
        <v>0</v>
      </c>
      <c r="S4" s="243"/>
    </row>
    <row r="5" spans="1:45" ht="31.5" customHeight="1">
      <c r="A5" s="241" t="s">
        <v>143</v>
      </c>
      <c r="B5" s="241"/>
      <c r="C5" s="77" t="str">
        <f>销量!C7</f>
        <v>肩部折叠</v>
      </c>
      <c r="D5" s="77" t="str">
        <f>销量!D7</f>
        <v>肩部折叠</v>
      </c>
      <c r="E5" s="77" t="str">
        <f>销量!E7</f>
        <v>根据成本价格进行加价确认</v>
      </c>
      <c r="F5" s="77">
        <f>销量!F7</f>
        <v>0</v>
      </c>
      <c r="G5" s="77">
        <f>销量!G7</f>
        <v>0</v>
      </c>
      <c r="H5" s="77">
        <f>销量!H7</f>
        <v>0</v>
      </c>
      <c r="I5" s="77">
        <f>销量!I7</f>
        <v>0</v>
      </c>
      <c r="J5" s="77">
        <f>销量!J7</f>
        <v>0</v>
      </c>
      <c r="K5" s="77">
        <f>销量!K7</f>
        <v>0</v>
      </c>
      <c r="L5" s="77">
        <f>销量!L7</f>
        <v>0</v>
      </c>
      <c r="M5" s="77">
        <f>销量!M7</f>
        <v>0</v>
      </c>
      <c r="N5" s="77">
        <f>销量!N7</f>
        <v>0</v>
      </c>
      <c r="O5" s="77">
        <f>销量!O7</f>
        <v>0</v>
      </c>
      <c r="P5" s="77">
        <f>销量!P7</f>
        <v>0</v>
      </c>
      <c r="Q5" s="77">
        <f>销量!Q7</f>
        <v>0</v>
      </c>
      <c r="R5" s="77">
        <f>销量!R7</f>
        <v>0</v>
      </c>
      <c r="S5" s="244"/>
      <c r="AS5" s="71" t="s">
        <v>50</v>
      </c>
    </row>
    <row r="6" spans="1:45" ht="17.25">
      <c r="A6" s="78" t="s">
        <v>18</v>
      </c>
      <c r="B6" s="79" t="s">
        <v>144</v>
      </c>
      <c r="C6" s="98">
        <f>销量!C9</f>
        <v>20000</v>
      </c>
      <c r="D6" s="98">
        <f>销量!D9</f>
        <v>20000</v>
      </c>
      <c r="E6" s="98">
        <f>销量!E9</f>
        <v>0</v>
      </c>
      <c r="F6" s="98">
        <f>销量!F9</f>
        <v>0</v>
      </c>
      <c r="G6" s="98">
        <f>销量!G9</f>
        <v>0</v>
      </c>
      <c r="H6" s="98">
        <f>销量!H9</f>
        <v>0</v>
      </c>
      <c r="I6" s="98">
        <f>销量!I9</f>
        <v>0</v>
      </c>
      <c r="J6" s="98">
        <f>销量!J9</f>
        <v>0</v>
      </c>
      <c r="K6" s="98">
        <f>销量!K9</f>
        <v>0</v>
      </c>
      <c r="L6" s="98">
        <f>销量!L9</f>
        <v>0</v>
      </c>
      <c r="M6" s="98">
        <f>销量!M9</f>
        <v>0</v>
      </c>
      <c r="N6" s="98">
        <f>销量!N9</f>
        <v>0</v>
      </c>
      <c r="O6" s="98">
        <f>销量!O9</f>
        <v>0</v>
      </c>
      <c r="P6" s="98">
        <f>销量!P9</f>
        <v>0</v>
      </c>
      <c r="Q6" s="98">
        <f>销量!Q9</f>
        <v>0</v>
      </c>
      <c r="R6" s="98">
        <f>销量!R9</f>
        <v>0</v>
      </c>
      <c r="S6" s="81">
        <f>+SUM(C6:R6)</f>
        <v>40000</v>
      </c>
      <c r="AQ6" s="78" t="s">
        <v>18</v>
      </c>
      <c r="AR6" s="79" t="s">
        <v>3</v>
      </c>
      <c r="AS6" s="71" t="s">
        <v>51</v>
      </c>
    </row>
    <row r="7" spans="1:45">
      <c r="A7" s="75">
        <v>1</v>
      </c>
      <c r="B7" s="79" t="s">
        <v>52</v>
      </c>
      <c r="C7" s="81">
        <f>C6*销量!C8</f>
        <v>6285114.0170504153</v>
      </c>
      <c r="D7" s="81">
        <f>D6*销量!D8</f>
        <v>5483238.7741603032</v>
      </c>
      <c r="E7" s="81">
        <f>E6*销量!E8</f>
        <v>0</v>
      </c>
      <c r="F7" s="81">
        <f>F6*销量!F8</f>
        <v>0</v>
      </c>
      <c r="G7" s="81">
        <f>G6*销量!G8</f>
        <v>0</v>
      </c>
      <c r="H7" s="81">
        <f>H6*销量!H8</f>
        <v>0</v>
      </c>
      <c r="I7" s="81">
        <f>I6*销量!I8</f>
        <v>0</v>
      </c>
      <c r="J7" s="81">
        <f>J6*销量!J8</f>
        <v>0</v>
      </c>
      <c r="K7" s="81">
        <f>K6*销量!K8</f>
        <v>0</v>
      </c>
      <c r="L7" s="81">
        <f>L6*销量!L8</f>
        <v>0</v>
      </c>
      <c r="M7" s="81">
        <f>M6*销量!M8</f>
        <v>0</v>
      </c>
      <c r="N7" s="81">
        <f>N6*销量!N8</f>
        <v>0</v>
      </c>
      <c r="O7" s="81">
        <f>O6*销量!O8</f>
        <v>0</v>
      </c>
      <c r="P7" s="81">
        <f>P6*销量!P8</f>
        <v>0</v>
      </c>
      <c r="Q7" s="81">
        <f>Q6*销量!Q8</f>
        <v>0</v>
      </c>
      <c r="R7" s="81">
        <f>R6*销量!R8</f>
        <v>0</v>
      </c>
      <c r="S7" s="81">
        <f t="shared" ref="S7:S26" si="0">+SUM(C7:R7)</f>
        <v>11768352.791210718</v>
      </c>
      <c r="T7" s="74"/>
      <c r="AQ7" s="78" t="s">
        <v>53</v>
      </c>
      <c r="AR7" s="79" t="s">
        <v>52</v>
      </c>
      <c r="AS7" s="71" t="s">
        <v>51</v>
      </c>
    </row>
    <row r="8" spans="1:45">
      <c r="A8" s="75">
        <v>2</v>
      </c>
      <c r="B8" s="75" t="s">
        <v>54</v>
      </c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>
        <f t="shared" si="0"/>
        <v>0</v>
      </c>
      <c r="T8" s="82"/>
      <c r="AQ8" s="78" t="s">
        <v>55</v>
      </c>
      <c r="AR8" s="75" t="s">
        <v>56</v>
      </c>
      <c r="AS8" s="71" t="s">
        <v>51</v>
      </c>
    </row>
    <row r="9" spans="1:45">
      <c r="A9" s="75">
        <v>3</v>
      </c>
      <c r="B9" s="79" t="s">
        <v>57</v>
      </c>
      <c r="C9" s="81">
        <f>+C7-C8</f>
        <v>6285114.0170504153</v>
      </c>
      <c r="D9" s="81">
        <f t="shared" ref="D9:R9" si="1">+D7-D8</f>
        <v>5483238.7741603032</v>
      </c>
      <c r="E9" s="81">
        <f t="shared" si="1"/>
        <v>0</v>
      </c>
      <c r="F9" s="81">
        <f t="shared" si="1"/>
        <v>0</v>
      </c>
      <c r="G9" s="81">
        <f t="shared" si="1"/>
        <v>0</v>
      </c>
      <c r="H9" s="81">
        <f t="shared" si="1"/>
        <v>0</v>
      </c>
      <c r="I9" s="81">
        <f t="shared" si="1"/>
        <v>0</v>
      </c>
      <c r="J9" s="81">
        <f t="shared" si="1"/>
        <v>0</v>
      </c>
      <c r="K9" s="81">
        <f t="shared" si="1"/>
        <v>0</v>
      </c>
      <c r="L9" s="81">
        <f t="shared" si="1"/>
        <v>0</v>
      </c>
      <c r="M9" s="81">
        <f t="shared" si="1"/>
        <v>0</v>
      </c>
      <c r="N9" s="81">
        <f t="shared" si="1"/>
        <v>0</v>
      </c>
      <c r="O9" s="81">
        <f t="shared" si="1"/>
        <v>0</v>
      </c>
      <c r="P9" s="81">
        <f t="shared" si="1"/>
        <v>0</v>
      </c>
      <c r="Q9" s="81">
        <f t="shared" si="1"/>
        <v>0</v>
      </c>
      <c r="R9" s="81">
        <f t="shared" si="1"/>
        <v>0</v>
      </c>
      <c r="S9" s="81">
        <f t="shared" si="0"/>
        <v>11768352.791210718</v>
      </c>
      <c r="AQ9" s="78" t="s">
        <v>58</v>
      </c>
      <c r="AR9" s="79" t="s">
        <v>57</v>
      </c>
      <c r="AS9" s="71" t="s">
        <v>59</v>
      </c>
    </row>
    <row r="10" spans="1:45">
      <c r="A10" s="75">
        <v>4</v>
      </c>
      <c r="B10" s="78" t="s">
        <v>61</v>
      </c>
      <c r="C10" s="81">
        <f>C6*C33</f>
        <v>4399579.8119352907</v>
      </c>
      <c r="D10" s="81">
        <f t="shared" ref="D10:R10" si="2">D6*D33</f>
        <v>3838267.1419122117</v>
      </c>
      <c r="E10" s="81">
        <f t="shared" si="2"/>
        <v>0</v>
      </c>
      <c r="F10" s="81">
        <f t="shared" si="2"/>
        <v>0</v>
      </c>
      <c r="G10" s="81">
        <f t="shared" si="2"/>
        <v>0</v>
      </c>
      <c r="H10" s="81">
        <f t="shared" si="2"/>
        <v>0</v>
      </c>
      <c r="I10" s="81">
        <f t="shared" si="2"/>
        <v>0</v>
      </c>
      <c r="J10" s="81">
        <f t="shared" si="2"/>
        <v>0</v>
      </c>
      <c r="K10" s="81">
        <f t="shared" si="2"/>
        <v>0</v>
      </c>
      <c r="L10" s="81">
        <f t="shared" si="2"/>
        <v>0</v>
      </c>
      <c r="M10" s="81">
        <f t="shared" si="2"/>
        <v>0</v>
      </c>
      <c r="N10" s="81">
        <f t="shared" si="2"/>
        <v>0</v>
      </c>
      <c r="O10" s="81">
        <f t="shared" si="2"/>
        <v>0</v>
      </c>
      <c r="P10" s="81">
        <f t="shared" si="2"/>
        <v>0</v>
      </c>
      <c r="Q10" s="81">
        <f t="shared" si="2"/>
        <v>0</v>
      </c>
      <c r="R10" s="81">
        <f t="shared" si="2"/>
        <v>0</v>
      </c>
      <c r="S10" s="81">
        <f t="shared" si="0"/>
        <v>8237846.9538475024</v>
      </c>
      <c r="AQ10" s="78" t="s">
        <v>60</v>
      </c>
      <c r="AR10" s="78" t="s">
        <v>61</v>
      </c>
      <c r="AS10" s="71" t="s">
        <v>62</v>
      </c>
    </row>
    <row r="11" spans="1:45">
      <c r="A11" s="75">
        <v>5</v>
      </c>
      <c r="B11" s="78" t="s">
        <v>63</v>
      </c>
      <c r="C11" s="81">
        <f>+C6*C36</f>
        <v>501552.09856062313</v>
      </c>
      <c r="D11" s="81">
        <f t="shared" ref="D11:R11" si="3">+D6*D36</f>
        <v>437562.45417799213</v>
      </c>
      <c r="E11" s="81">
        <f t="shared" si="3"/>
        <v>0</v>
      </c>
      <c r="F11" s="81">
        <f t="shared" si="3"/>
        <v>0</v>
      </c>
      <c r="G11" s="81">
        <f t="shared" si="3"/>
        <v>0</v>
      </c>
      <c r="H11" s="81">
        <f t="shared" si="3"/>
        <v>0</v>
      </c>
      <c r="I11" s="81">
        <f t="shared" si="3"/>
        <v>0</v>
      </c>
      <c r="J11" s="81">
        <f t="shared" si="3"/>
        <v>0</v>
      </c>
      <c r="K11" s="81">
        <f t="shared" si="3"/>
        <v>0</v>
      </c>
      <c r="L11" s="81">
        <f t="shared" si="3"/>
        <v>0</v>
      </c>
      <c r="M11" s="81">
        <f t="shared" si="3"/>
        <v>0</v>
      </c>
      <c r="N11" s="81">
        <f t="shared" si="3"/>
        <v>0</v>
      </c>
      <c r="O11" s="81">
        <f t="shared" si="3"/>
        <v>0</v>
      </c>
      <c r="P11" s="81">
        <f t="shared" si="3"/>
        <v>0</v>
      </c>
      <c r="Q11" s="81">
        <f t="shared" si="3"/>
        <v>0</v>
      </c>
      <c r="R11" s="81">
        <f t="shared" si="3"/>
        <v>0</v>
      </c>
      <c r="S11" s="81">
        <f t="shared" si="0"/>
        <v>939114.55273861531</v>
      </c>
      <c r="AQ11" s="78" t="s">
        <v>64</v>
      </c>
      <c r="AR11" s="78" t="s">
        <v>63</v>
      </c>
    </row>
    <row r="12" spans="1:45">
      <c r="A12" s="75">
        <v>6</v>
      </c>
      <c r="B12" s="78" t="s">
        <v>65</v>
      </c>
      <c r="C12" s="81">
        <f>+C6*C37</f>
        <v>329968.48589514685</v>
      </c>
      <c r="D12" s="81">
        <f t="shared" ref="D12:R12" si="4">+D6*D37</f>
        <v>287870.03564341593</v>
      </c>
      <c r="E12" s="81">
        <f t="shared" si="4"/>
        <v>0</v>
      </c>
      <c r="F12" s="81">
        <f t="shared" si="4"/>
        <v>0</v>
      </c>
      <c r="G12" s="81">
        <f t="shared" si="4"/>
        <v>0</v>
      </c>
      <c r="H12" s="81">
        <f t="shared" si="4"/>
        <v>0</v>
      </c>
      <c r="I12" s="81">
        <f t="shared" si="4"/>
        <v>0</v>
      </c>
      <c r="J12" s="81">
        <f t="shared" si="4"/>
        <v>0</v>
      </c>
      <c r="K12" s="81">
        <f t="shared" si="4"/>
        <v>0</v>
      </c>
      <c r="L12" s="81">
        <f t="shared" si="4"/>
        <v>0</v>
      </c>
      <c r="M12" s="81">
        <f t="shared" si="4"/>
        <v>0</v>
      </c>
      <c r="N12" s="81">
        <f t="shared" si="4"/>
        <v>0</v>
      </c>
      <c r="O12" s="81">
        <f t="shared" si="4"/>
        <v>0</v>
      </c>
      <c r="P12" s="81">
        <f t="shared" si="4"/>
        <v>0</v>
      </c>
      <c r="Q12" s="81">
        <f t="shared" si="4"/>
        <v>0</v>
      </c>
      <c r="R12" s="81">
        <f t="shared" si="4"/>
        <v>0</v>
      </c>
      <c r="S12" s="81">
        <f t="shared" si="0"/>
        <v>617838.52153856284</v>
      </c>
      <c r="AQ12" s="78" t="s">
        <v>66</v>
      </c>
      <c r="AR12" s="78" t="s">
        <v>65</v>
      </c>
    </row>
    <row r="13" spans="1:45">
      <c r="A13" s="75">
        <v>7</v>
      </c>
      <c r="B13" s="78" t="s">
        <v>67</v>
      </c>
      <c r="C13" s="81">
        <f>+C6*C38</f>
        <v>147071.66799897968</v>
      </c>
      <c r="D13" s="81">
        <f t="shared" ref="D13:R13" si="5">+D6*D38</f>
        <v>128307.78731535109</v>
      </c>
      <c r="E13" s="81">
        <f t="shared" si="5"/>
        <v>0</v>
      </c>
      <c r="F13" s="81">
        <f t="shared" si="5"/>
        <v>0</v>
      </c>
      <c r="G13" s="81">
        <f t="shared" si="5"/>
        <v>0</v>
      </c>
      <c r="H13" s="81">
        <f t="shared" si="5"/>
        <v>0</v>
      </c>
      <c r="I13" s="81">
        <f t="shared" si="5"/>
        <v>0</v>
      </c>
      <c r="J13" s="81">
        <f t="shared" si="5"/>
        <v>0</v>
      </c>
      <c r="K13" s="81">
        <f t="shared" si="5"/>
        <v>0</v>
      </c>
      <c r="L13" s="81">
        <f t="shared" si="5"/>
        <v>0</v>
      </c>
      <c r="M13" s="81">
        <f t="shared" si="5"/>
        <v>0</v>
      </c>
      <c r="N13" s="81">
        <f t="shared" si="5"/>
        <v>0</v>
      </c>
      <c r="O13" s="81">
        <f t="shared" si="5"/>
        <v>0</v>
      </c>
      <c r="P13" s="81">
        <f t="shared" si="5"/>
        <v>0</v>
      </c>
      <c r="Q13" s="81">
        <f t="shared" si="5"/>
        <v>0</v>
      </c>
      <c r="R13" s="81">
        <f t="shared" si="5"/>
        <v>0</v>
      </c>
      <c r="S13" s="81">
        <f t="shared" si="0"/>
        <v>275379.45531433076</v>
      </c>
      <c r="AQ13" s="78" t="s">
        <v>68</v>
      </c>
      <c r="AR13" s="78" t="s">
        <v>67</v>
      </c>
      <c r="AS13" s="71" t="s">
        <v>51</v>
      </c>
    </row>
    <row r="14" spans="1:45">
      <c r="A14" s="75">
        <v>8</v>
      </c>
      <c r="B14" s="83" t="s">
        <v>69</v>
      </c>
      <c r="C14" s="81">
        <f>SUM(C11:C13)</f>
        <v>978592.25245474966</v>
      </c>
      <c r="D14" s="81">
        <f t="shared" ref="D14:R14" si="6">SUM(D11:D13)</f>
        <v>853740.27713675913</v>
      </c>
      <c r="E14" s="81">
        <f t="shared" si="6"/>
        <v>0</v>
      </c>
      <c r="F14" s="81">
        <f t="shared" si="6"/>
        <v>0</v>
      </c>
      <c r="G14" s="81">
        <f t="shared" si="6"/>
        <v>0</v>
      </c>
      <c r="H14" s="81">
        <f t="shared" si="6"/>
        <v>0</v>
      </c>
      <c r="I14" s="81">
        <f t="shared" si="6"/>
        <v>0</v>
      </c>
      <c r="J14" s="81">
        <f t="shared" si="6"/>
        <v>0</v>
      </c>
      <c r="K14" s="81">
        <f t="shared" si="6"/>
        <v>0</v>
      </c>
      <c r="L14" s="81">
        <f t="shared" si="6"/>
        <v>0</v>
      </c>
      <c r="M14" s="81">
        <f t="shared" si="6"/>
        <v>0</v>
      </c>
      <c r="N14" s="81">
        <f t="shared" si="6"/>
        <v>0</v>
      </c>
      <c r="O14" s="81">
        <f t="shared" si="6"/>
        <v>0</v>
      </c>
      <c r="P14" s="81">
        <f t="shared" si="6"/>
        <v>0</v>
      </c>
      <c r="Q14" s="81">
        <f t="shared" si="6"/>
        <v>0</v>
      </c>
      <c r="R14" s="81">
        <f t="shared" si="6"/>
        <v>0</v>
      </c>
      <c r="S14" s="81">
        <f>SUM(S11:S13)</f>
        <v>1832332.5295915089</v>
      </c>
      <c r="AQ14" s="78" t="s">
        <v>70</v>
      </c>
      <c r="AR14" s="83" t="s">
        <v>69</v>
      </c>
    </row>
    <row r="15" spans="1:45">
      <c r="A15" s="75">
        <v>9</v>
      </c>
      <c r="B15" s="83" t="s">
        <v>71</v>
      </c>
      <c r="C15" s="81">
        <f>+C9-C10-C14</f>
        <v>906941.95266037493</v>
      </c>
      <c r="D15" s="81">
        <f t="shared" ref="D15:R15" si="7">+D9-D10-D14</f>
        <v>791231.35511133238</v>
      </c>
      <c r="E15" s="81">
        <f t="shared" si="7"/>
        <v>0</v>
      </c>
      <c r="F15" s="81">
        <f t="shared" si="7"/>
        <v>0</v>
      </c>
      <c r="G15" s="81">
        <f t="shared" si="7"/>
        <v>0</v>
      </c>
      <c r="H15" s="81">
        <f t="shared" si="7"/>
        <v>0</v>
      </c>
      <c r="I15" s="81">
        <f t="shared" si="7"/>
        <v>0</v>
      </c>
      <c r="J15" s="81">
        <f t="shared" si="7"/>
        <v>0</v>
      </c>
      <c r="K15" s="81">
        <f t="shared" si="7"/>
        <v>0</v>
      </c>
      <c r="L15" s="81">
        <f t="shared" si="7"/>
        <v>0</v>
      </c>
      <c r="M15" s="81">
        <f t="shared" si="7"/>
        <v>0</v>
      </c>
      <c r="N15" s="81">
        <f t="shared" si="7"/>
        <v>0</v>
      </c>
      <c r="O15" s="81">
        <f t="shared" si="7"/>
        <v>0</v>
      </c>
      <c r="P15" s="81">
        <f t="shared" si="7"/>
        <v>0</v>
      </c>
      <c r="Q15" s="81">
        <f t="shared" si="7"/>
        <v>0</v>
      </c>
      <c r="R15" s="81">
        <f t="shared" si="7"/>
        <v>0</v>
      </c>
      <c r="S15" s="81">
        <f t="shared" ref="S15" si="8">+S9-S10-S14</f>
        <v>1698173.3077717072</v>
      </c>
      <c r="AQ15" s="78" t="s">
        <v>72</v>
      </c>
      <c r="AR15" s="83" t="s">
        <v>71</v>
      </c>
    </row>
    <row r="16" spans="1:45">
      <c r="A16" s="75">
        <v>10</v>
      </c>
      <c r="B16" s="78" t="s">
        <v>73</v>
      </c>
      <c r="C16" s="84">
        <f>+C15/C9</f>
        <v>0.14430000000000001</v>
      </c>
      <c r="D16" s="84">
        <f t="shared" ref="D16:R16" si="9">+D15/D9</f>
        <v>0.14430000000000012</v>
      </c>
      <c r="E16" s="84" t="e">
        <f t="shared" si="9"/>
        <v>#DIV/0!</v>
      </c>
      <c r="F16" s="84" t="e">
        <f t="shared" si="9"/>
        <v>#DIV/0!</v>
      </c>
      <c r="G16" s="84" t="e">
        <f t="shared" si="9"/>
        <v>#DIV/0!</v>
      </c>
      <c r="H16" s="84" t="e">
        <f t="shared" si="9"/>
        <v>#DIV/0!</v>
      </c>
      <c r="I16" s="84" t="e">
        <f t="shared" si="9"/>
        <v>#DIV/0!</v>
      </c>
      <c r="J16" s="84" t="e">
        <f t="shared" si="9"/>
        <v>#DIV/0!</v>
      </c>
      <c r="K16" s="84" t="e">
        <f t="shared" si="9"/>
        <v>#DIV/0!</v>
      </c>
      <c r="L16" s="84" t="e">
        <f t="shared" si="9"/>
        <v>#DIV/0!</v>
      </c>
      <c r="M16" s="84" t="e">
        <f t="shared" si="9"/>
        <v>#DIV/0!</v>
      </c>
      <c r="N16" s="84" t="e">
        <f t="shared" si="9"/>
        <v>#DIV/0!</v>
      </c>
      <c r="O16" s="84" t="e">
        <f t="shared" si="9"/>
        <v>#DIV/0!</v>
      </c>
      <c r="P16" s="84" t="e">
        <f t="shared" si="9"/>
        <v>#DIV/0!</v>
      </c>
      <c r="Q16" s="84" t="e">
        <f t="shared" si="9"/>
        <v>#DIV/0!</v>
      </c>
      <c r="R16" s="84" t="e">
        <f t="shared" si="9"/>
        <v>#DIV/0!</v>
      </c>
      <c r="S16" s="84">
        <f>+S15/S9</f>
        <v>0.14430000000000004</v>
      </c>
      <c r="AQ16" s="78" t="s">
        <v>74</v>
      </c>
      <c r="AR16" s="78" t="s">
        <v>73</v>
      </c>
    </row>
    <row r="17" spans="1:45">
      <c r="A17" s="75">
        <v>11</v>
      </c>
      <c r="B17" s="78" t="s">
        <v>75</v>
      </c>
      <c r="C17" s="81">
        <f>C6*C43+C18</f>
        <v>530847.71727929125</v>
      </c>
      <c r="D17" s="81">
        <f t="shared" ref="D17:R17" si="10">D6*D43+D18</f>
        <v>480089.01440434717</v>
      </c>
      <c r="E17" s="81">
        <f t="shared" si="10"/>
        <v>0</v>
      </c>
      <c r="F17" s="81">
        <f t="shared" si="10"/>
        <v>0</v>
      </c>
      <c r="G17" s="81">
        <f t="shared" si="10"/>
        <v>0</v>
      </c>
      <c r="H17" s="81">
        <f t="shared" si="10"/>
        <v>0</v>
      </c>
      <c r="I17" s="81">
        <f t="shared" si="10"/>
        <v>0</v>
      </c>
      <c r="J17" s="81">
        <f t="shared" si="10"/>
        <v>0</v>
      </c>
      <c r="K17" s="81">
        <f t="shared" si="10"/>
        <v>0</v>
      </c>
      <c r="L17" s="81">
        <f t="shared" si="10"/>
        <v>0</v>
      </c>
      <c r="M17" s="81">
        <f t="shared" si="10"/>
        <v>0</v>
      </c>
      <c r="N17" s="81">
        <f t="shared" si="10"/>
        <v>0</v>
      </c>
      <c r="O17" s="81">
        <f t="shared" si="10"/>
        <v>0</v>
      </c>
      <c r="P17" s="81">
        <f t="shared" si="10"/>
        <v>0</v>
      </c>
      <c r="Q17" s="81">
        <f t="shared" si="10"/>
        <v>0</v>
      </c>
      <c r="R17" s="81">
        <f t="shared" si="10"/>
        <v>0</v>
      </c>
      <c r="S17" s="81">
        <f t="shared" si="0"/>
        <v>1010936.7316836384</v>
      </c>
      <c r="T17" s="82"/>
      <c r="AQ17" s="78" t="s">
        <v>76</v>
      </c>
      <c r="AR17" s="78" t="s">
        <v>75</v>
      </c>
    </row>
    <row r="18" spans="1:45" s="72" customFormat="1">
      <c r="A18" s="75">
        <v>12</v>
      </c>
      <c r="B18" s="86" t="s">
        <v>145</v>
      </c>
      <c r="C18" s="87">
        <f t="shared" ref="C18:R18" si="11">$S$18/$S$6*C6</f>
        <v>133000</v>
      </c>
      <c r="D18" s="87">
        <f t="shared" si="11"/>
        <v>133000</v>
      </c>
      <c r="E18" s="87">
        <f t="shared" si="11"/>
        <v>0</v>
      </c>
      <c r="F18" s="87">
        <f t="shared" si="11"/>
        <v>0</v>
      </c>
      <c r="G18" s="87">
        <f t="shared" si="11"/>
        <v>0</v>
      </c>
      <c r="H18" s="87">
        <f t="shared" si="11"/>
        <v>0</v>
      </c>
      <c r="I18" s="87">
        <f t="shared" si="11"/>
        <v>0</v>
      </c>
      <c r="J18" s="87">
        <f t="shared" si="11"/>
        <v>0</v>
      </c>
      <c r="K18" s="87">
        <f t="shared" si="11"/>
        <v>0</v>
      </c>
      <c r="L18" s="87">
        <f t="shared" si="11"/>
        <v>0</v>
      </c>
      <c r="M18" s="87">
        <f t="shared" si="11"/>
        <v>0</v>
      </c>
      <c r="N18" s="87">
        <f t="shared" si="11"/>
        <v>0</v>
      </c>
      <c r="O18" s="87">
        <f t="shared" si="11"/>
        <v>0</v>
      </c>
      <c r="P18" s="87">
        <f t="shared" si="11"/>
        <v>0</v>
      </c>
      <c r="Q18" s="87">
        <f t="shared" si="11"/>
        <v>0</v>
      </c>
      <c r="R18" s="87">
        <f t="shared" si="11"/>
        <v>0</v>
      </c>
      <c r="S18" s="81">
        <f>项目投资!D26</f>
        <v>266000</v>
      </c>
      <c r="T18" s="88" t="s">
        <v>146</v>
      </c>
      <c r="U18" s="88"/>
      <c r="V18" s="88"/>
    </row>
    <row r="19" spans="1:45">
      <c r="A19" s="75">
        <v>13</v>
      </c>
      <c r="B19" s="78" t="s">
        <v>77</v>
      </c>
      <c r="C19" s="81">
        <f>C6*C44</f>
        <v>0</v>
      </c>
      <c r="D19" s="81">
        <f t="shared" ref="D19:R19" si="12">D6*D44</f>
        <v>0</v>
      </c>
      <c r="E19" s="81">
        <f t="shared" si="12"/>
        <v>0</v>
      </c>
      <c r="F19" s="81">
        <f t="shared" si="12"/>
        <v>0</v>
      </c>
      <c r="G19" s="81">
        <f t="shared" si="12"/>
        <v>0</v>
      </c>
      <c r="H19" s="81">
        <f t="shared" si="12"/>
        <v>0</v>
      </c>
      <c r="I19" s="81">
        <f t="shared" si="12"/>
        <v>0</v>
      </c>
      <c r="J19" s="81">
        <f t="shared" si="12"/>
        <v>0</v>
      </c>
      <c r="K19" s="81">
        <f t="shared" si="12"/>
        <v>0</v>
      </c>
      <c r="L19" s="81">
        <f t="shared" si="12"/>
        <v>0</v>
      </c>
      <c r="M19" s="81">
        <f t="shared" si="12"/>
        <v>0</v>
      </c>
      <c r="N19" s="81">
        <f t="shared" si="12"/>
        <v>0</v>
      </c>
      <c r="O19" s="81">
        <f t="shared" si="12"/>
        <v>0</v>
      </c>
      <c r="P19" s="81">
        <f t="shared" si="12"/>
        <v>0</v>
      </c>
      <c r="Q19" s="81">
        <f t="shared" si="12"/>
        <v>0</v>
      </c>
      <c r="R19" s="81">
        <f t="shared" si="12"/>
        <v>0</v>
      </c>
      <c r="S19" s="81">
        <f t="shared" si="0"/>
        <v>0</v>
      </c>
      <c r="T19" s="72"/>
      <c r="AQ19" s="78" t="s">
        <v>78</v>
      </c>
      <c r="AR19" s="78" t="s">
        <v>77</v>
      </c>
      <c r="AS19" s="71" t="s">
        <v>51</v>
      </c>
    </row>
    <row r="20" spans="1:45">
      <c r="A20" s="75">
        <v>14</v>
      </c>
      <c r="B20" s="78" t="s">
        <v>79</v>
      </c>
      <c r="C20" s="81">
        <f>C6*C45</f>
        <v>30797.058683547035</v>
      </c>
      <c r="D20" s="81">
        <f t="shared" ref="D20:R20" si="13">D6*D45</f>
        <v>26867.869993385484</v>
      </c>
      <c r="E20" s="81">
        <f t="shared" si="13"/>
        <v>0</v>
      </c>
      <c r="F20" s="81">
        <f t="shared" si="13"/>
        <v>0</v>
      </c>
      <c r="G20" s="81">
        <f t="shared" si="13"/>
        <v>0</v>
      </c>
      <c r="H20" s="81">
        <f t="shared" si="13"/>
        <v>0</v>
      </c>
      <c r="I20" s="81">
        <f t="shared" si="13"/>
        <v>0</v>
      </c>
      <c r="J20" s="81">
        <f t="shared" si="13"/>
        <v>0</v>
      </c>
      <c r="K20" s="81">
        <f t="shared" si="13"/>
        <v>0</v>
      </c>
      <c r="L20" s="81">
        <f t="shared" si="13"/>
        <v>0</v>
      </c>
      <c r="M20" s="81">
        <f t="shared" si="13"/>
        <v>0</v>
      </c>
      <c r="N20" s="81">
        <f t="shared" si="13"/>
        <v>0</v>
      </c>
      <c r="O20" s="81">
        <f t="shared" si="13"/>
        <v>0</v>
      </c>
      <c r="P20" s="81">
        <f t="shared" si="13"/>
        <v>0</v>
      </c>
      <c r="Q20" s="81">
        <f t="shared" si="13"/>
        <v>0</v>
      </c>
      <c r="R20" s="81">
        <f t="shared" si="13"/>
        <v>0</v>
      </c>
      <c r="S20" s="81">
        <f t="shared" si="0"/>
        <v>57664.928676932519</v>
      </c>
      <c r="AQ20" s="78" t="s">
        <v>80</v>
      </c>
      <c r="AR20" s="78" t="s">
        <v>79</v>
      </c>
    </row>
    <row r="21" spans="1:45">
      <c r="A21" s="75">
        <v>15</v>
      </c>
      <c r="B21" s="78" t="s">
        <v>81</v>
      </c>
      <c r="C21" s="89">
        <f>$S$21/$S$6*C6</f>
        <v>10000</v>
      </c>
      <c r="D21" s="89">
        <f t="shared" ref="D21:R21" si="14">$S$21/$S$6*D6</f>
        <v>10000</v>
      </c>
      <c r="E21" s="89">
        <f t="shared" si="14"/>
        <v>0</v>
      </c>
      <c r="F21" s="89">
        <f t="shared" si="14"/>
        <v>0</v>
      </c>
      <c r="G21" s="89">
        <f t="shared" si="14"/>
        <v>0</v>
      </c>
      <c r="H21" s="89">
        <f t="shared" si="14"/>
        <v>0</v>
      </c>
      <c r="I21" s="89">
        <f t="shared" si="14"/>
        <v>0</v>
      </c>
      <c r="J21" s="89">
        <f t="shared" si="14"/>
        <v>0</v>
      </c>
      <c r="K21" s="89">
        <f t="shared" si="14"/>
        <v>0</v>
      </c>
      <c r="L21" s="89">
        <f t="shared" si="14"/>
        <v>0</v>
      </c>
      <c r="M21" s="89">
        <f t="shared" si="14"/>
        <v>0</v>
      </c>
      <c r="N21" s="89">
        <f t="shared" si="14"/>
        <v>0</v>
      </c>
      <c r="O21" s="89">
        <f t="shared" si="14"/>
        <v>0</v>
      </c>
      <c r="P21" s="89">
        <f t="shared" si="14"/>
        <v>0</v>
      </c>
      <c r="Q21" s="89">
        <f t="shared" si="14"/>
        <v>0</v>
      </c>
      <c r="R21" s="89">
        <f t="shared" si="14"/>
        <v>0</v>
      </c>
      <c r="S21" s="81">
        <f>项目投资!D27</f>
        <v>20000</v>
      </c>
      <c r="AQ21" s="78"/>
      <c r="AR21" s="78"/>
    </row>
    <row r="22" spans="1:45">
      <c r="A22" s="75">
        <v>16</v>
      </c>
      <c r="B22" s="78" t="s">
        <v>82</v>
      </c>
      <c r="C22" s="81">
        <f>C6*C47</f>
        <v>233806.24143427543</v>
      </c>
      <c r="D22" s="81">
        <f t="shared" ref="D22:R22" si="15">D6*D47</f>
        <v>203976.48239876324</v>
      </c>
      <c r="E22" s="81">
        <f t="shared" si="15"/>
        <v>0</v>
      </c>
      <c r="F22" s="81">
        <f t="shared" si="15"/>
        <v>0</v>
      </c>
      <c r="G22" s="81">
        <f t="shared" si="15"/>
        <v>0</v>
      </c>
      <c r="H22" s="81">
        <f t="shared" si="15"/>
        <v>0</v>
      </c>
      <c r="I22" s="81">
        <f t="shared" si="15"/>
        <v>0</v>
      </c>
      <c r="J22" s="81">
        <f t="shared" si="15"/>
        <v>0</v>
      </c>
      <c r="K22" s="81">
        <f t="shared" si="15"/>
        <v>0</v>
      </c>
      <c r="L22" s="81">
        <f t="shared" si="15"/>
        <v>0</v>
      </c>
      <c r="M22" s="81">
        <f t="shared" si="15"/>
        <v>0</v>
      </c>
      <c r="N22" s="81">
        <f t="shared" si="15"/>
        <v>0</v>
      </c>
      <c r="O22" s="81">
        <f t="shared" si="15"/>
        <v>0</v>
      </c>
      <c r="P22" s="81">
        <f t="shared" si="15"/>
        <v>0</v>
      </c>
      <c r="Q22" s="81">
        <f t="shared" si="15"/>
        <v>0</v>
      </c>
      <c r="R22" s="81">
        <f t="shared" si="15"/>
        <v>0</v>
      </c>
      <c r="S22" s="81">
        <f t="shared" si="0"/>
        <v>437782.7238330387</v>
      </c>
      <c r="AQ22" s="78" t="s">
        <v>83</v>
      </c>
      <c r="AR22" s="78" t="s">
        <v>82</v>
      </c>
    </row>
    <row r="23" spans="1:45">
      <c r="A23" s="75">
        <v>17</v>
      </c>
      <c r="B23" s="83" t="s">
        <v>84</v>
      </c>
      <c r="C23" s="89">
        <f>+C22+C21+C20+C19+C17</f>
        <v>805451.01739711373</v>
      </c>
      <c r="D23" s="89">
        <f t="shared" ref="D23:R23" si="16">+D22+D21+D20+D19+D17</f>
        <v>720933.36679649586</v>
      </c>
      <c r="E23" s="89">
        <f t="shared" si="16"/>
        <v>0</v>
      </c>
      <c r="F23" s="89">
        <f t="shared" si="16"/>
        <v>0</v>
      </c>
      <c r="G23" s="89">
        <f t="shared" si="16"/>
        <v>0</v>
      </c>
      <c r="H23" s="89">
        <f t="shared" si="16"/>
        <v>0</v>
      </c>
      <c r="I23" s="89">
        <f t="shared" si="16"/>
        <v>0</v>
      </c>
      <c r="J23" s="89">
        <f t="shared" si="16"/>
        <v>0</v>
      </c>
      <c r="K23" s="89">
        <f t="shared" si="16"/>
        <v>0</v>
      </c>
      <c r="L23" s="89">
        <f t="shared" si="16"/>
        <v>0</v>
      </c>
      <c r="M23" s="89">
        <f t="shared" si="16"/>
        <v>0</v>
      </c>
      <c r="N23" s="89">
        <f t="shared" si="16"/>
        <v>0</v>
      </c>
      <c r="O23" s="89">
        <f t="shared" si="16"/>
        <v>0</v>
      </c>
      <c r="P23" s="89">
        <f t="shared" si="16"/>
        <v>0</v>
      </c>
      <c r="Q23" s="89">
        <f t="shared" si="16"/>
        <v>0</v>
      </c>
      <c r="R23" s="89">
        <f t="shared" si="16"/>
        <v>0</v>
      </c>
      <c r="S23" s="89">
        <f>+S22+S21+S20+S19+S17</f>
        <v>1526384.3841936097</v>
      </c>
      <c r="AQ23" s="78" t="s">
        <v>85</v>
      </c>
      <c r="AR23" s="83" t="s">
        <v>84</v>
      </c>
    </row>
    <row r="24" spans="1:45">
      <c r="A24" s="75">
        <v>18</v>
      </c>
      <c r="B24" s="90" t="s">
        <v>86</v>
      </c>
      <c r="C24" s="89">
        <f>+C15-C23</f>
        <v>101490.9352632612</v>
      </c>
      <c r="D24" s="89">
        <f t="shared" ref="D24:R24" si="17">+D15-D23</f>
        <v>70297.988314836519</v>
      </c>
      <c r="E24" s="89">
        <f t="shared" si="17"/>
        <v>0</v>
      </c>
      <c r="F24" s="89">
        <f t="shared" si="17"/>
        <v>0</v>
      </c>
      <c r="G24" s="89">
        <f t="shared" si="17"/>
        <v>0</v>
      </c>
      <c r="H24" s="89">
        <f t="shared" si="17"/>
        <v>0</v>
      </c>
      <c r="I24" s="89">
        <f t="shared" si="17"/>
        <v>0</v>
      </c>
      <c r="J24" s="89">
        <f t="shared" si="17"/>
        <v>0</v>
      </c>
      <c r="K24" s="89">
        <f t="shared" si="17"/>
        <v>0</v>
      </c>
      <c r="L24" s="89">
        <f t="shared" si="17"/>
        <v>0</v>
      </c>
      <c r="M24" s="89">
        <f t="shared" si="17"/>
        <v>0</v>
      </c>
      <c r="N24" s="89">
        <f t="shared" si="17"/>
        <v>0</v>
      </c>
      <c r="O24" s="89">
        <f t="shared" si="17"/>
        <v>0</v>
      </c>
      <c r="P24" s="89">
        <f t="shared" si="17"/>
        <v>0</v>
      </c>
      <c r="Q24" s="89">
        <f t="shared" si="17"/>
        <v>0</v>
      </c>
      <c r="R24" s="89">
        <f t="shared" si="17"/>
        <v>0</v>
      </c>
      <c r="S24" s="89">
        <f>+S15-S23</f>
        <v>171788.92357809749</v>
      </c>
      <c r="U24" s="91"/>
      <c r="AQ24" s="78" t="s">
        <v>87</v>
      </c>
      <c r="AR24" s="78" t="s">
        <v>86</v>
      </c>
    </row>
    <row r="25" spans="1:45">
      <c r="A25" s="75">
        <v>19</v>
      </c>
      <c r="B25" s="78" t="s">
        <v>264</v>
      </c>
      <c r="C25" s="89">
        <f>IF(C24&lt;0,0,C24*0.15)</f>
        <v>15223.64028948918</v>
      </c>
      <c r="D25" s="89">
        <f t="shared" ref="D25:R25" si="18">IF(D24&lt;0,0,D24*0.15)</f>
        <v>10544.698247225477</v>
      </c>
      <c r="E25" s="89">
        <f t="shared" si="18"/>
        <v>0</v>
      </c>
      <c r="F25" s="89">
        <f t="shared" si="18"/>
        <v>0</v>
      </c>
      <c r="G25" s="89">
        <f t="shared" si="18"/>
        <v>0</v>
      </c>
      <c r="H25" s="89">
        <f t="shared" si="18"/>
        <v>0</v>
      </c>
      <c r="I25" s="89">
        <f t="shared" si="18"/>
        <v>0</v>
      </c>
      <c r="J25" s="89">
        <f t="shared" si="18"/>
        <v>0</v>
      </c>
      <c r="K25" s="89">
        <f t="shared" si="18"/>
        <v>0</v>
      </c>
      <c r="L25" s="89">
        <f t="shared" si="18"/>
        <v>0</v>
      </c>
      <c r="M25" s="89">
        <f t="shared" si="18"/>
        <v>0</v>
      </c>
      <c r="N25" s="89">
        <f t="shared" si="18"/>
        <v>0</v>
      </c>
      <c r="O25" s="89">
        <f t="shared" si="18"/>
        <v>0</v>
      </c>
      <c r="P25" s="89">
        <f t="shared" si="18"/>
        <v>0</v>
      </c>
      <c r="Q25" s="89">
        <f t="shared" si="18"/>
        <v>0</v>
      </c>
      <c r="R25" s="89">
        <f t="shared" si="18"/>
        <v>0</v>
      </c>
      <c r="S25" s="89">
        <f t="shared" ref="S25" si="19">IF(S24&lt;0,0,S24*0.15)</f>
        <v>25768.338536714622</v>
      </c>
      <c r="T25" s="2"/>
      <c r="U25" s="2"/>
      <c r="V25" s="2"/>
      <c r="AQ25" s="78" t="s">
        <v>88</v>
      </c>
      <c r="AR25" s="78" t="s">
        <v>35</v>
      </c>
    </row>
    <row r="26" spans="1:45">
      <c r="A26" s="75">
        <v>20</v>
      </c>
      <c r="B26" s="78" t="s">
        <v>89</v>
      </c>
      <c r="C26" s="89">
        <f>C24-C25</f>
        <v>86267.294973772019</v>
      </c>
      <c r="D26" s="89">
        <f t="shared" ref="D26:R26" si="20">D24-D25</f>
        <v>59753.290067611044</v>
      </c>
      <c r="E26" s="89">
        <f t="shared" si="20"/>
        <v>0</v>
      </c>
      <c r="F26" s="89">
        <f t="shared" si="20"/>
        <v>0</v>
      </c>
      <c r="G26" s="89">
        <f t="shared" si="20"/>
        <v>0</v>
      </c>
      <c r="H26" s="89">
        <f t="shared" si="20"/>
        <v>0</v>
      </c>
      <c r="I26" s="89">
        <f t="shared" si="20"/>
        <v>0</v>
      </c>
      <c r="J26" s="89">
        <f t="shared" si="20"/>
        <v>0</v>
      </c>
      <c r="K26" s="89">
        <f t="shared" si="20"/>
        <v>0</v>
      </c>
      <c r="L26" s="89">
        <f t="shared" si="20"/>
        <v>0</v>
      </c>
      <c r="M26" s="89">
        <f t="shared" si="20"/>
        <v>0</v>
      </c>
      <c r="N26" s="89">
        <f t="shared" si="20"/>
        <v>0</v>
      </c>
      <c r="O26" s="89">
        <f t="shared" si="20"/>
        <v>0</v>
      </c>
      <c r="P26" s="89">
        <f t="shared" si="20"/>
        <v>0</v>
      </c>
      <c r="Q26" s="89">
        <f t="shared" si="20"/>
        <v>0</v>
      </c>
      <c r="R26" s="89">
        <f t="shared" si="20"/>
        <v>0</v>
      </c>
      <c r="S26" s="81">
        <f t="shared" si="0"/>
        <v>146020.58504138305</v>
      </c>
      <c r="T26" s="2"/>
      <c r="U26" s="2"/>
      <c r="V26" s="2"/>
      <c r="AQ26" s="78" t="s">
        <v>90</v>
      </c>
      <c r="AR26" s="78" t="s">
        <v>89</v>
      </c>
    </row>
    <row r="27" spans="1:45">
      <c r="A27" s="75">
        <v>21</v>
      </c>
      <c r="B27" s="78" t="s">
        <v>93</v>
      </c>
      <c r="C27" s="92">
        <f>C26/C9</f>
        <v>1.3725653144834593E-2</v>
      </c>
      <c r="D27" s="92">
        <f t="shared" ref="D27:R27" si="21">D26/D9</f>
        <v>1.0897444471905493E-2</v>
      </c>
      <c r="E27" s="92" t="e">
        <f t="shared" si="21"/>
        <v>#DIV/0!</v>
      </c>
      <c r="F27" s="92" t="e">
        <f t="shared" si="21"/>
        <v>#DIV/0!</v>
      </c>
      <c r="G27" s="92" t="e">
        <f t="shared" si="21"/>
        <v>#DIV/0!</v>
      </c>
      <c r="H27" s="92" t="e">
        <f t="shared" si="21"/>
        <v>#DIV/0!</v>
      </c>
      <c r="I27" s="92" t="e">
        <f t="shared" si="21"/>
        <v>#DIV/0!</v>
      </c>
      <c r="J27" s="92" t="e">
        <f t="shared" si="21"/>
        <v>#DIV/0!</v>
      </c>
      <c r="K27" s="92" t="e">
        <f t="shared" si="21"/>
        <v>#DIV/0!</v>
      </c>
      <c r="L27" s="92" t="e">
        <f t="shared" si="21"/>
        <v>#DIV/0!</v>
      </c>
      <c r="M27" s="92" t="e">
        <f t="shared" si="21"/>
        <v>#DIV/0!</v>
      </c>
      <c r="N27" s="92" t="e">
        <f t="shared" si="21"/>
        <v>#DIV/0!</v>
      </c>
      <c r="O27" s="92" t="e">
        <f t="shared" si="21"/>
        <v>#DIV/0!</v>
      </c>
      <c r="P27" s="92" t="e">
        <f t="shared" si="21"/>
        <v>#DIV/0!</v>
      </c>
      <c r="Q27" s="92" t="e">
        <f t="shared" si="21"/>
        <v>#DIV/0!</v>
      </c>
      <c r="R27" s="92" t="e">
        <f t="shared" si="21"/>
        <v>#DIV/0!</v>
      </c>
      <c r="S27" s="92">
        <f>S26/S9</f>
        <v>1.2407903436616857E-2</v>
      </c>
      <c r="T27" s="2"/>
      <c r="U27" s="2"/>
      <c r="V27" s="2"/>
      <c r="AQ27" s="78" t="s">
        <v>92</v>
      </c>
      <c r="AR27" s="78" t="s">
        <v>93</v>
      </c>
    </row>
    <row r="28" spans="1:45">
      <c r="T28" s="2"/>
      <c r="U28" s="2"/>
      <c r="V28" s="2"/>
    </row>
    <row r="29" spans="1:45">
      <c r="A29" s="71" t="s">
        <v>94</v>
      </c>
      <c r="S29" s="74" t="s">
        <v>147</v>
      </c>
      <c r="T29" s="2"/>
      <c r="U29" s="2"/>
      <c r="V29" s="2"/>
      <c r="AQ29" s="71" t="s">
        <v>94</v>
      </c>
    </row>
    <row r="30" spans="1:45">
      <c r="A30" s="78" t="s">
        <v>95</v>
      </c>
      <c r="B30" s="83" t="s">
        <v>96</v>
      </c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2"/>
      <c r="U30" s="2"/>
      <c r="V30" s="2"/>
      <c r="X30" s="2"/>
      <c r="AQ30" s="78" t="s">
        <v>97</v>
      </c>
      <c r="AR30" s="83" t="s">
        <v>96</v>
      </c>
    </row>
    <row r="31" spans="1:45">
      <c r="A31" s="75">
        <v>1</v>
      </c>
      <c r="B31" s="86" t="s">
        <v>98</v>
      </c>
      <c r="C31" s="93">
        <f>销量!C8</f>
        <v>314.25570085252076</v>
      </c>
      <c r="D31" s="93">
        <f>销量!D8</f>
        <v>274.16193870801516</v>
      </c>
      <c r="E31" s="93">
        <f>销量!E8</f>
        <v>0</v>
      </c>
      <c r="F31" s="93">
        <f>销量!F8</f>
        <v>0</v>
      </c>
      <c r="G31" s="93">
        <f>销量!G8</f>
        <v>0</v>
      </c>
      <c r="H31" s="93">
        <f>销量!H8</f>
        <v>0</v>
      </c>
      <c r="I31" s="93">
        <f>销量!I8</f>
        <v>0</v>
      </c>
      <c r="J31" s="93">
        <f>销量!J8</f>
        <v>0</v>
      </c>
      <c r="K31" s="93">
        <f>销量!K8</f>
        <v>0</v>
      </c>
      <c r="L31" s="93">
        <f>销量!L8</f>
        <v>0</v>
      </c>
      <c r="M31" s="93">
        <f>销量!M8</f>
        <v>0</v>
      </c>
      <c r="N31" s="93">
        <f>销量!N8</f>
        <v>0</v>
      </c>
      <c r="O31" s="93">
        <f>销量!O8</f>
        <v>0</v>
      </c>
      <c r="P31" s="93">
        <f>销量!P8</f>
        <v>0</v>
      </c>
      <c r="Q31" s="93">
        <f>销量!Q8</f>
        <v>0</v>
      </c>
      <c r="R31" s="93">
        <f>销量!R8</f>
        <v>0</v>
      </c>
      <c r="S31" s="89"/>
      <c r="T31" s="2"/>
      <c r="U31" s="2"/>
      <c r="V31" s="2"/>
      <c r="X31" s="2"/>
      <c r="AQ31" s="78" t="s">
        <v>53</v>
      </c>
      <c r="AR31" s="78" t="s">
        <v>98</v>
      </c>
    </row>
    <row r="32" spans="1:45">
      <c r="A32" s="75">
        <v>2</v>
      </c>
      <c r="B32" s="78" t="s">
        <v>148</v>
      </c>
      <c r="C32" s="81">
        <f>C9/C6</f>
        <v>314.25570085252076</v>
      </c>
      <c r="D32" s="81">
        <f t="shared" ref="D32:R32" si="22">D9/D6</f>
        <v>274.16193870801516</v>
      </c>
      <c r="E32" s="81" t="e">
        <f t="shared" si="22"/>
        <v>#DIV/0!</v>
      </c>
      <c r="F32" s="81" t="e">
        <f t="shared" si="22"/>
        <v>#DIV/0!</v>
      </c>
      <c r="G32" s="81" t="e">
        <f t="shared" si="22"/>
        <v>#DIV/0!</v>
      </c>
      <c r="H32" s="81" t="e">
        <f t="shared" si="22"/>
        <v>#DIV/0!</v>
      </c>
      <c r="I32" s="81" t="e">
        <f t="shared" si="22"/>
        <v>#DIV/0!</v>
      </c>
      <c r="J32" s="81" t="e">
        <f t="shared" si="22"/>
        <v>#DIV/0!</v>
      </c>
      <c r="K32" s="81" t="e">
        <f t="shared" si="22"/>
        <v>#DIV/0!</v>
      </c>
      <c r="L32" s="81" t="e">
        <f t="shared" si="22"/>
        <v>#DIV/0!</v>
      </c>
      <c r="M32" s="81" t="e">
        <f t="shared" si="22"/>
        <v>#DIV/0!</v>
      </c>
      <c r="N32" s="81" t="e">
        <f t="shared" si="22"/>
        <v>#DIV/0!</v>
      </c>
      <c r="O32" s="81" t="e">
        <f t="shared" si="22"/>
        <v>#DIV/0!</v>
      </c>
      <c r="P32" s="81" t="e">
        <f t="shared" si="22"/>
        <v>#DIV/0!</v>
      </c>
      <c r="Q32" s="81" t="e">
        <f t="shared" si="22"/>
        <v>#DIV/0!</v>
      </c>
      <c r="R32" s="81" t="e">
        <f t="shared" si="22"/>
        <v>#DIV/0!</v>
      </c>
      <c r="S32" s="89"/>
      <c r="T32" s="2"/>
      <c r="U32" s="2"/>
      <c r="V32" s="2"/>
      <c r="W32" s="2"/>
      <c r="X32" s="2"/>
      <c r="Y32" s="2"/>
      <c r="Z32" s="2"/>
      <c r="AQ32" s="78"/>
      <c r="AR32" s="78"/>
    </row>
    <row r="33" spans="1:44">
      <c r="A33" s="75">
        <v>3</v>
      </c>
      <c r="B33" s="86" t="s">
        <v>99</v>
      </c>
      <c r="C33" s="81">
        <f>材料成本!D24</f>
        <v>219.97899059676453</v>
      </c>
      <c r="D33" s="81">
        <f>材料成本!E24</f>
        <v>191.91335709561059</v>
      </c>
      <c r="E33" s="81">
        <f>材料成本!F24</f>
        <v>0</v>
      </c>
      <c r="F33" s="81">
        <f>材料成本!G24</f>
        <v>0</v>
      </c>
      <c r="G33" s="81">
        <f>材料成本!H24</f>
        <v>0</v>
      </c>
      <c r="H33" s="81">
        <f>材料成本!I24</f>
        <v>0</v>
      </c>
      <c r="I33" s="81">
        <f>材料成本!J24</f>
        <v>0</v>
      </c>
      <c r="J33" s="81">
        <f>材料成本!K24</f>
        <v>0</v>
      </c>
      <c r="K33" s="81">
        <f>材料成本!L24</f>
        <v>0</v>
      </c>
      <c r="L33" s="81">
        <f>材料成本!M24</f>
        <v>0</v>
      </c>
      <c r="M33" s="81">
        <f>材料成本!N24</f>
        <v>0</v>
      </c>
      <c r="N33" s="81">
        <f>材料成本!O24</f>
        <v>0</v>
      </c>
      <c r="O33" s="81">
        <f>材料成本!P24</f>
        <v>0</v>
      </c>
      <c r="P33" s="81">
        <f>材料成本!Q24</f>
        <v>0</v>
      </c>
      <c r="Q33" s="81">
        <f>材料成本!R24</f>
        <v>0</v>
      </c>
      <c r="R33" s="81">
        <f>材料成本!S24</f>
        <v>0</v>
      </c>
      <c r="S33" s="89"/>
      <c r="U33" s="2"/>
      <c r="V33" s="2"/>
      <c r="W33" s="2"/>
      <c r="X33" s="2"/>
      <c r="Y33" s="2"/>
      <c r="Z33" s="2"/>
      <c r="AQ33" s="78" t="s">
        <v>55</v>
      </c>
      <c r="AR33" s="78" t="s">
        <v>99</v>
      </c>
    </row>
    <row r="34" spans="1:44" ht="17.25" customHeight="1">
      <c r="A34" s="75">
        <v>4</v>
      </c>
      <c r="B34" s="78" t="s">
        <v>101</v>
      </c>
      <c r="C34" s="94">
        <f>C32-C33</f>
        <v>94.276710255756228</v>
      </c>
      <c r="D34" s="94">
        <f t="shared" ref="D34:R34" si="23">D32-D33</f>
        <v>82.248581612404564</v>
      </c>
      <c r="E34" s="94" t="e">
        <f t="shared" si="23"/>
        <v>#DIV/0!</v>
      </c>
      <c r="F34" s="94" t="e">
        <f t="shared" si="23"/>
        <v>#DIV/0!</v>
      </c>
      <c r="G34" s="94" t="e">
        <f t="shared" si="23"/>
        <v>#DIV/0!</v>
      </c>
      <c r="H34" s="94" t="e">
        <f t="shared" si="23"/>
        <v>#DIV/0!</v>
      </c>
      <c r="I34" s="94" t="e">
        <f t="shared" si="23"/>
        <v>#DIV/0!</v>
      </c>
      <c r="J34" s="94" t="e">
        <f t="shared" si="23"/>
        <v>#DIV/0!</v>
      </c>
      <c r="K34" s="94" t="e">
        <f t="shared" si="23"/>
        <v>#DIV/0!</v>
      </c>
      <c r="L34" s="94" t="e">
        <f t="shared" si="23"/>
        <v>#DIV/0!</v>
      </c>
      <c r="M34" s="94" t="e">
        <f t="shared" si="23"/>
        <v>#DIV/0!</v>
      </c>
      <c r="N34" s="94" t="e">
        <f t="shared" si="23"/>
        <v>#DIV/0!</v>
      </c>
      <c r="O34" s="94" t="e">
        <f t="shared" si="23"/>
        <v>#DIV/0!</v>
      </c>
      <c r="P34" s="94" t="e">
        <f t="shared" si="23"/>
        <v>#DIV/0!</v>
      </c>
      <c r="Q34" s="94" t="e">
        <f t="shared" si="23"/>
        <v>#DIV/0!</v>
      </c>
      <c r="R34" s="94" t="e">
        <f t="shared" si="23"/>
        <v>#DIV/0!</v>
      </c>
      <c r="S34" s="89"/>
      <c r="U34" s="2"/>
      <c r="V34" s="2"/>
      <c r="W34" s="2"/>
      <c r="X34" s="2"/>
      <c r="Y34" s="2"/>
      <c r="Z34" s="2"/>
      <c r="AQ34" s="78" t="s">
        <v>100</v>
      </c>
      <c r="AR34" s="78" t="s">
        <v>101</v>
      </c>
    </row>
    <row r="35" spans="1:44">
      <c r="A35" s="78" t="s">
        <v>97</v>
      </c>
      <c r="B35" s="83" t="s">
        <v>9</v>
      </c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2"/>
      <c r="U35" s="2"/>
      <c r="V35" s="2"/>
      <c r="W35" s="2"/>
      <c r="X35" s="2"/>
      <c r="Y35" s="2"/>
      <c r="Z35" s="2"/>
      <c r="AA35" s="2"/>
      <c r="AB35" s="2"/>
      <c r="AC35" s="2"/>
      <c r="AQ35" s="78" t="s">
        <v>103</v>
      </c>
      <c r="AR35" s="83" t="s">
        <v>9</v>
      </c>
    </row>
    <row r="36" spans="1:44">
      <c r="A36" s="75">
        <v>1</v>
      </c>
      <c r="B36" s="78" t="s">
        <v>104</v>
      </c>
      <c r="C36" s="87">
        <f>标准成本!E4</f>
        <v>25.077604928031157</v>
      </c>
      <c r="D36" s="87">
        <f>标准成本!E16</f>
        <v>21.878122708899607</v>
      </c>
      <c r="E36" s="87">
        <f>标准成本!E29</f>
        <v>0</v>
      </c>
      <c r="F36" s="87">
        <f>标准成本!E42</f>
        <v>0</v>
      </c>
      <c r="G36" s="87">
        <f>标准成本!E55</f>
        <v>0</v>
      </c>
      <c r="H36" s="87">
        <f>标准成本!E68</f>
        <v>0</v>
      </c>
      <c r="I36" s="87">
        <f>标准成本!E81</f>
        <v>0</v>
      </c>
      <c r="J36" s="87">
        <f>标准成本!E94</f>
        <v>0</v>
      </c>
      <c r="K36" s="87">
        <f>标准成本!E107</f>
        <v>0</v>
      </c>
      <c r="L36" s="87">
        <f>标准成本!E120</f>
        <v>0</v>
      </c>
      <c r="M36" s="87">
        <f>标准成本!E133</f>
        <v>0</v>
      </c>
      <c r="N36" s="87">
        <f>标准成本!E146</f>
        <v>0</v>
      </c>
      <c r="O36" s="87">
        <f>标准成本!E159</f>
        <v>0</v>
      </c>
      <c r="P36" s="87">
        <f>标准成本!E172</f>
        <v>0</v>
      </c>
      <c r="Q36" s="87">
        <f>标准成本!E185</f>
        <v>0</v>
      </c>
      <c r="R36" s="87">
        <f>标准成本!E198</f>
        <v>0</v>
      </c>
      <c r="S36" s="93"/>
      <c r="T36" s="2"/>
      <c r="U36" s="2"/>
      <c r="V36" s="2"/>
      <c r="W36" s="2"/>
      <c r="X36" s="2"/>
      <c r="Y36" s="2"/>
      <c r="Z36" s="2"/>
      <c r="AA36" s="2"/>
      <c r="AB36" s="2"/>
      <c r="AC36" s="2"/>
      <c r="AQ36" s="78" t="s">
        <v>100</v>
      </c>
      <c r="AR36" s="78" t="s">
        <v>104</v>
      </c>
    </row>
    <row r="37" spans="1:44">
      <c r="A37" s="75">
        <v>2</v>
      </c>
      <c r="B37" s="78" t="s">
        <v>105</v>
      </c>
      <c r="C37" s="87">
        <f>标准成本!E6</f>
        <v>16.498424294757342</v>
      </c>
      <c r="D37" s="87">
        <f>标准成本!E18</f>
        <v>14.393501782170796</v>
      </c>
      <c r="E37" s="87">
        <f>标准成本!E31</f>
        <v>0</v>
      </c>
      <c r="F37" s="87">
        <f>标准成本!E44</f>
        <v>0</v>
      </c>
      <c r="G37" s="87">
        <f>标准成本!E57</f>
        <v>0</v>
      </c>
      <c r="H37" s="87">
        <f>标准成本!E70</f>
        <v>0</v>
      </c>
      <c r="I37" s="87">
        <f>标准成本!E83</f>
        <v>0</v>
      </c>
      <c r="J37" s="87">
        <f>标准成本!E96</f>
        <v>0</v>
      </c>
      <c r="K37" s="87">
        <f>标准成本!E109</f>
        <v>0</v>
      </c>
      <c r="L37" s="87">
        <f>标准成本!E122</f>
        <v>0</v>
      </c>
      <c r="M37" s="87">
        <f>标准成本!E135</f>
        <v>0</v>
      </c>
      <c r="N37" s="87">
        <f>标准成本!E148</f>
        <v>0</v>
      </c>
      <c r="O37" s="87">
        <f>标准成本!E161</f>
        <v>0</v>
      </c>
      <c r="P37" s="87">
        <f>标准成本!E174</f>
        <v>0</v>
      </c>
      <c r="Q37" s="87">
        <f>标准成本!E187</f>
        <v>0</v>
      </c>
      <c r="R37" s="87">
        <f>标准成本!E200</f>
        <v>0</v>
      </c>
      <c r="S37" s="93"/>
      <c r="T37" s="2"/>
      <c r="U37" s="2"/>
      <c r="V37" s="2"/>
      <c r="W37" s="2"/>
      <c r="X37" s="2"/>
      <c r="Y37" s="2"/>
      <c r="Z37" s="2"/>
      <c r="AA37" s="2"/>
      <c r="AB37" s="2"/>
      <c r="AC37" s="2"/>
      <c r="AQ37" s="78" t="s">
        <v>58</v>
      </c>
      <c r="AR37" s="78" t="s">
        <v>105</v>
      </c>
    </row>
    <row r="38" spans="1:44">
      <c r="A38" s="75">
        <v>3</v>
      </c>
      <c r="B38" s="78" t="s">
        <v>106</v>
      </c>
      <c r="C38" s="87">
        <f>标准成本!E10</f>
        <v>7.3535833999489846</v>
      </c>
      <c r="D38" s="87">
        <f>标准成本!E22</f>
        <v>6.4153893657675543</v>
      </c>
      <c r="E38" s="87">
        <f>标准成本!E35</f>
        <v>0</v>
      </c>
      <c r="F38" s="87">
        <f>标准成本!E48</f>
        <v>0</v>
      </c>
      <c r="G38" s="87">
        <f>标准成本!E61</f>
        <v>0</v>
      </c>
      <c r="H38" s="87">
        <f>标准成本!E74</f>
        <v>0</v>
      </c>
      <c r="I38" s="87">
        <f>标准成本!E87</f>
        <v>0</v>
      </c>
      <c r="J38" s="87">
        <f>标准成本!E100</f>
        <v>0</v>
      </c>
      <c r="K38" s="87">
        <f>标准成本!E113</f>
        <v>0</v>
      </c>
      <c r="L38" s="87">
        <f>标准成本!E126</f>
        <v>0</v>
      </c>
      <c r="M38" s="87">
        <f>标准成本!E139</f>
        <v>0</v>
      </c>
      <c r="N38" s="87">
        <f>标准成本!E152</f>
        <v>0</v>
      </c>
      <c r="O38" s="87">
        <f>标准成本!E165</f>
        <v>0</v>
      </c>
      <c r="P38" s="87">
        <f>标准成本!E178</f>
        <v>0</v>
      </c>
      <c r="Q38" s="87">
        <f>标准成本!E191</f>
        <v>0</v>
      </c>
      <c r="R38" s="87">
        <f>标准成本!E204</f>
        <v>0</v>
      </c>
      <c r="S38" s="93"/>
      <c r="T38" s="2"/>
      <c r="U38" s="2"/>
      <c r="V38" s="2"/>
      <c r="W38" s="2"/>
      <c r="X38" s="2"/>
      <c r="Y38" s="2"/>
      <c r="Z38" s="2"/>
      <c r="AA38" s="2"/>
      <c r="AB38" s="2"/>
      <c r="AC38" s="2"/>
      <c r="AQ38" s="78" t="s">
        <v>64</v>
      </c>
      <c r="AR38" s="78" t="s">
        <v>106</v>
      </c>
    </row>
    <row r="39" spans="1:44">
      <c r="A39" s="78" t="s">
        <v>103</v>
      </c>
      <c r="B39" s="83" t="s">
        <v>108</v>
      </c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AQ39" s="78" t="s">
        <v>107</v>
      </c>
      <c r="AR39" s="83" t="s">
        <v>108</v>
      </c>
    </row>
    <row r="40" spans="1:44">
      <c r="A40" s="75">
        <v>1</v>
      </c>
      <c r="B40" s="78" t="s">
        <v>109</v>
      </c>
      <c r="C40" s="89">
        <f>C34-C36-C37-C38</f>
        <v>45.347097633018748</v>
      </c>
      <c r="D40" s="89">
        <f>D34-D36-D37-D38</f>
        <v>39.561567755566607</v>
      </c>
      <c r="E40" s="89" t="e">
        <f t="shared" ref="E40:R40" si="24">E34-E36-E37-E38</f>
        <v>#DIV/0!</v>
      </c>
      <c r="F40" s="89" t="e">
        <f t="shared" si="24"/>
        <v>#DIV/0!</v>
      </c>
      <c r="G40" s="89" t="e">
        <f t="shared" si="24"/>
        <v>#DIV/0!</v>
      </c>
      <c r="H40" s="89" t="e">
        <f t="shared" si="24"/>
        <v>#DIV/0!</v>
      </c>
      <c r="I40" s="89" t="e">
        <f t="shared" si="24"/>
        <v>#DIV/0!</v>
      </c>
      <c r="J40" s="89" t="e">
        <f t="shared" si="24"/>
        <v>#DIV/0!</v>
      </c>
      <c r="K40" s="89" t="e">
        <f t="shared" si="24"/>
        <v>#DIV/0!</v>
      </c>
      <c r="L40" s="89" t="e">
        <f t="shared" si="24"/>
        <v>#DIV/0!</v>
      </c>
      <c r="M40" s="89" t="e">
        <f t="shared" si="24"/>
        <v>#DIV/0!</v>
      </c>
      <c r="N40" s="89" t="e">
        <f t="shared" si="24"/>
        <v>#DIV/0!</v>
      </c>
      <c r="O40" s="89" t="e">
        <f t="shared" si="24"/>
        <v>#DIV/0!</v>
      </c>
      <c r="P40" s="89" t="e">
        <f t="shared" si="24"/>
        <v>#DIV/0!</v>
      </c>
      <c r="Q40" s="89" t="e">
        <f t="shared" si="24"/>
        <v>#DIV/0!</v>
      </c>
      <c r="R40" s="89" t="e">
        <f t="shared" si="24"/>
        <v>#DIV/0!</v>
      </c>
      <c r="S40" s="89"/>
      <c r="AQ40" s="78" t="s">
        <v>53</v>
      </c>
      <c r="AR40" s="78" t="s">
        <v>109</v>
      </c>
    </row>
    <row r="41" spans="1:44">
      <c r="A41" s="75">
        <v>2</v>
      </c>
      <c r="B41" s="78" t="s">
        <v>110</v>
      </c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AQ41" s="78" t="s">
        <v>55</v>
      </c>
      <c r="AR41" s="78" t="s">
        <v>110</v>
      </c>
    </row>
    <row r="42" spans="1:44">
      <c r="A42" s="78" t="s">
        <v>107</v>
      </c>
      <c r="B42" s="83" t="s">
        <v>112</v>
      </c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AQ42" s="78" t="s">
        <v>111</v>
      </c>
      <c r="AR42" s="83" t="s">
        <v>112</v>
      </c>
    </row>
    <row r="43" spans="1:44">
      <c r="A43" s="75">
        <v>1</v>
      </c>
      <c r="B43" s="90" t="s">
        <v>113</v>
      </c>
      <c r="C43" s="87">
        <f>标准成本!E5</f>
        <v>19.892385863964563</v>
      </c>
      <c r="D43" s="87">
        <f>标准成本!E17</f>
        <v>17.354450720217358</v>
      </c>
      <c r="E43" s="87">
        <f>标准成本!E30</f>
        <v>0</v>
      </c>
      <c r="F43" s="87">
        <f>标准成本!E43</f>
        <v>0</v>
      </c>
      <c r="G43" s="87">
        <f>标准成本!E56</f>
        <v>0</v>
      </c>
      <c r="H43" s="87">
        <f>标准成本!E69</f>
        <v>0</v>
      </c>
      <c r="I43" s="87">
        <f>标准成本!E82</f>
        <v>0</v>
      </c>
      <c r="J43" s="87">
        <f>标准成本!E95</f>
        <v>0</v>
      </c>
      <c r="K43" s="87">
        <f>标准成本!E108</f>
        <v>0</v>
      </c>
      <c r="L43" s="87">
        <f>标准成本!E121</f>
        <v>0</v>
      </c>
      <c r="M43" s="87">
        <f>标准成本!E134</f>
        <v>0</v>
      </c>
      <c r="N43" s="87">
        <f>标准成本!E147</f>
        <v>0</v>
      </c>
      <c r="O43" s="87">
        <f>标准成本!E160</f>
        <v>0</v>
      </c>
      <c r="P43" s="87">
        <f>标准成本!E173</f>
        <v>0</v>
      </c>
      <c r="Q43" s="87">
        <f>标准成本!E186</f>
        <v>0</v>
      </c>
      <c r="R43" s="87">
        <f>标准成本!E199</f>
        <v>0</v>
      </c>
      <c r="S43" s="89"/>
      <c r="AQ43" s="78" t="s">
        <v>53</v>
      </c>
      <c r="AR43" s="78" t="s">
        <v>113</v>
      </c>
    </row>
    <row r="44" spans="1:44">
      <c r="A44" s="75">
        <v>2</v>
      </c>
      <c r="B44" s="90" t="s">
        <v>114</v>
      </c>
      <c r="C44" s="87">
        <f>标准成本!E9</f>
        <v>0</v>
      </c>
      <c r="D44" s="87">
        <f>标准成本!E21</f>
        <v>0</v>
      </c>
      <c r="E44" s="87">
        <f>标准成本!E34</f>
        <v>0</v>
      </c>
      <c r="F44" s="87">
        <f>标准成本!E47</f>
        <v>0</v>
      </c>
      <c r="G44" s="87">
        <f>标准成本!E60</f>
        <v>0</v>
      </c>
      <c r="H44" s="87">
        <f>标准成本!E73</f>
        <v>0</v>
      </c>
      <c r="I44" s="87">
        <f>标准成本!E86</f>
        <v>0</v>
      </c>
      <c r="J44" s="87">
        <f>标准成本!E99</f>
        <v>0</v>
      </c>
      <c r="K44" s="87">
        <f>标准成本!E112</f>
        <v>0</v>
      </c>
      <c r="L44" s="87">
        <f>标准成本!E125</f>
        <v>0</v>
      </c>
      <c r="M44" s="87">
        <f>标准成本!E138</f>
        <v>0</v>
      </c>
      <c r="N44" s="87">
        <f>标准成本!E151</f>
        <v>0</v>
      </c>
      <c r="O44" s="87">
        <f>标准成本!E164</f>
        <v>0</v>
      </c>
      <c r="P44" s="87">
        <f>标准成本!E177</f>
        <v>0</v>
      </c>
      <c r="Q44" s="87">
        <f>标准成本!E190</f>
        <v>0</v>
      </c>
      <c r="R44" s="87">
        <f>标准成本!E203</f>
        <v>0</v>
      </c>
      <c r="S44" s="89"/>
      <c r="AQ44" s="78" t="s">
        <v>55</v>
      </c>
      <c r="AR44" s="78" t="s">
        <v>114</v>
      </c>
    </row>
    <row r="45" spans="1:44">
      <c r="A45" s="75">
        <v>3</v>
      </c>
      <c r="B45" s="90" t="s">
        <v>115</v>
      </c>
      <c r="C45" s="87">
        <f>标准成本!E8</f>
        <v>1.5398529341773517</v>
      </c>
      <c r="D45" s="87">
        <f>标准成本!E20</f>
        <v>1.3433934996692742</v>
      </c>
      <c r="E45" s="87">
        <f>标准成本!E33</f>
        <v>0</v>
      </c>
      <c r="F45" s="87">
        <f>标准成本!E46</f>
        <v>0</v>
      </c>
      <c r="G45" s="87">
        <f>标准成本!E59</f>
        <v>0</v>
      </c>
      <c r="H45" s="87">
        <f>标准成本!E72</f>
        <v>0</v>
      </c>
      <c r="I45" s="87">
        <f>标准成本!E85</f>
        <v>0</v>
      </c>
      <c r="J45" s="87">
        <f>标准成本!E98</f>
        <v>0</v>
      </c>
      <c r="K45" s="87">
        <f>标准成本!E111</f>
        <v>0</v>
      </c>
      <c r="L45" s="87">
        <f>标准成本!E124</f>
        <v>0</v>
      </c>
      <c r="M45" s="87">
        <f>标准成本!E137</f>
        <v>0</v>
      </c>
      <c r="N45" s="87">
        <f>标准成本!E150</f>
        <v>0</v>
      </c>
      <c r="O45" s="87">
        <f>标准成本!E163</f>
        <v>0</v>
      </c>
      <c r="P45" s="87">
        <f>标准成本!E176</f>
        <v>0</v>
      </c>
      <c r="Q45" s="87">
        <f>标准成本!E189</f>
        <v>0</v>
      </c>
      <c r="R45" s="87">
        <f>标准成本!E202</f>
        <v>0</v>
      </c>
      <c r="S45" s="89"/>
      <c r="AQ45" s="78" t="s">
        <v>100</v>
      </c>
      <c r="AR45" s="78" t="s">
        <v>115</v>
      </c>
    </row>
    <row r="46" spans="1:44" s="73" customFormat="1">
      <c r="A46" s="75">
        <v>4</v>
      </c>
      <c r="B46" s="90" t="s">
        <v>116</v>
      </c>
      <c r="C46" s="95">
        <f>C21/C6</f>
        <v>0.5</v>
      </c>
      <c r="D46" s="95">
        <f>D21/D6</f>
        <v>0.5</v>
      </c>
      <c r="E46" s="95" t="e">
        <f t="shared" ref="E46:R46" si="25">E21/E6</f>
        <v>#DIV/0!</v>
      </c>
      <c r="F46" s="95" t="e">
        <f t="shared" si="25"/>
        <v>#DIV/0!</v>
      </c>
      <c r="G46" s="95" t="e">
        <f t="shared" si="25"/>
        <v>#DIV/0!</v>
      </c>
      <c r="H46" s="95" t="e">
        <f t="shared" si="25"/>
        <v>#DIV/0!</v>
      </c>
      <c r="I46" s="95" t="e">
        <f t="shared" si="25"/>
        <v>#DIV/0!</v>
      </c>
      <c r="J46" s="95" t="e">
        <f t="shared" si="25"/>
        <v>#DIV/0!</v>
      </c>
      <c r="K46" s="95" t="e">
        <f t="shared" si="25"/>
        <v>#DIV/0!</v>
      </c>
      <c r="L46" s="95" t="e">
        <f t="shared" si="25"/>
        <v>#DIV/0!</v>
      </c>
      <c r="M46" s="95" t="e">
        <f t="shared" si="25"/>
        <v>#DIV/0!</v>
      </c>
      <c r="N46" s="95" t="e">
        <f t="shared" si="25"/>
        <v>#DIV/0!</v>
      </c>
      <c r="O46" s="95" t="e">
        <f t="shared" si="25"/>
        <v>#DIV/0!</v>
      </c>
      <c r="P46" s="95" t="e">
        <f t="shared" si="25"/>
        <v>#DIV/0!</v>
      </c>
      <c r="Q46" s="95" t="e">
        <f t="shared" si="25"/>
        <v>#DIV/0!</v>
      </c>
      <c r="R46" s="95" t="e">
        <f t="shared" si="25"/>
        <v>#DIV/0!</v>
      </c>
      <c r="S46" s="95"/>
      <c r="AQ46" s="90" t="s">
        <v>60</v>
      </c>
      <c r="AR46" s="90" t="s">
        <v>118</v>
      </c>
    </row>
    <row r="47" spans="1:44" s="73" customFormat="1">
      <c r="A47" s="75">
        <v>5</v>
      </c>
      <c r="B47" s="90" t="s">
        <v>118</v>
      </c>
      <c r="C47" s="87">
        <f>标准成本!E11</f>
        <v>11.690312071713771</v>
      </c>
      <c r="D47" s="87">
        <f>标准成本!E23</f>
        <v>10.198824119938163</v>
      </c>
      <c r="E47" s="87">
        <f>标准成本!E36</f>
        <v>0</v>
      </c>
      <c r="F47" s="87">
        <f>标准成本!E49</f>
        <v>0</v>
      </c>
      <c r="G47" s="87">
        <f>标准成本!E62</f>
        <v>0</v>
      </c>
      <c r="H47" s="87">
        <f>标准成本!E75</f>
        <v>0</v>
      </c>
      <c r="I47" s="87">
        <f>标准成本!E88</f>
        <v>0</v>
      </c>
      <c r="J47" s="87">
        <f>标准成本!E101</f>
        <v>0</v>
      </c>
      <c r="K47" s="87">
        <f>标准成本!E114</f>
        <v>0</v>
      </c>
      <c r="L47" s="87">
        <f>标准成本!E127</f>
        <v>0</v>
      </c>
      <c r="M47" s="87">
        <f>标准成本!E140</f>
        <v>0</v>
      </c>
      <c r="N47" s="87">
        <f>标准成本!E153</f>
        <v>0</v>
      </c>
      <c r="O47" s="87">
        <f>标准成本!E166</f>
        <v>0</v>
      </c>
      <c r="P47" s="87">
        <f>标准成本!E179</f>
        <v>0</v>
      </c>
      <c r="Q47" s="87">
        <f>标准成本!E192</f>
        <v>0</v>
      </c>
      <c r="R47" s="87">
        <f>标准成本!E205</f>
        <v>0</v>
      </c>
      <c r="S47" s="95"/>
      <c r="AQ47" s="90" t="s">
        <v>60</v>
      </c>
      <c r="AR47" s="90" t="s">
        <v>118</v>
      </c>
    </row>
    <row r="48" spans="1:44">
      <c r="A48" s="78" t="s">
        <v>111</v>
      </c>
      <c r="B48" s="83" t="s">
        <v>129</v>
      </c>
      <c r="C48" s="89">
        <f>C40-C43-C44-C45-C47-C46</f>
        <v>11.724546763163064</v>
      </c>
      <c r="D48" s="89">
        <f>D40-D43-D44-D45-D47-D46</f>
        <v>10.164899415741811</v>
      </c>
      <c r="E48" s="89" t="e">
        <f t="shared" ref="E48:R48" si="26">E40-E43-E44-E45-E47-E46</f>
        <v>#DIV/0!</v>
      </c>
      <c r="F48" s="89" t="e">
        <f t="shared" si="26"/>
        <v>#DIV/0!</v>
      </c>
      <c r="G48" s="89" t="e">
        <f t="shared" si="26"/>
        <v>#DIV/0!</v>
      </c>
      <c r="H48" s="89" t="e">
        <f t="shared" si="26"/>
        <v>#DIV/0!</v>
      </c>
      <c r="I48" s="89" t="e">
        <f t="shared" si="26"/>
        <v>#DIV/0!</v>
      </c>
      <c r="J48" s="89" t="e">
        <f t="shared" si="26"/>
        <v>#DIV/0!</v>
      </c>
      <c r="K48" s="89" t="e">
        <f t="shared" si="26"/>
        <v>#DIV/0!</v>
      </c>
      <c r="L48" s="89" t="e">
        <f t="shared" si="26"/>
        <v>#DIV/0!</v>
      </c>
      <c r="M48" s="89" t="e">
        <f t="shared" si="26"/>
        <v>#DIV/0!</v>
      </c>
      <c r="N48" s="89" t="e">
        <f t="shared" si="26"/>
        <v>#DIV/0!</v>
      </c>
      <c r="O48" s="89" t="e">
        <f t="shared" si="26"/>
        <v>#DIV/0!</v>
      </c>
      <c r="P48" s="89" t="e">
        <f t="shared" si="26"/>
        <v>#DIV/0!</v>
      </c>
      <c r="Q48" s="89" t="e">
        <f t="shared" si="26"/>
        <v>#DIV/0!</v>
      </c>
      <c r="R48" s="89" t="e">
        <f t="shared" si="26"/>
        <v>#DIV/0!</v>
      </c>
      <c r="S48" s="89"/>
      <c r="AQ48" s="78" t="s">
        <v>128</v>
      </c>
      <c r="AR48" s="83" t="s">
        <v>129</v>
      </c>
    </row>
    <row r="51" spans="2:24"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</row>
    <row r="54" spans="2:24">
      <c r="B54" s="2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2"/>
      <c r="U54" s="2"/>
      <c r="V54" s="2"/>
      <c r="W54" s="2"/>
      <c r="X54" s="2"/>
    </row>
    <row r="55" spans="2:24">
      <c r="B55" s="2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2"/>
      <c r="U55" s="2"/>
      <c r="V55" s="2"/>
      <c r="W55" s="2"/>
      <c r="X55" s="2"/>
    </row>
    <row r="56" spans="2:24">
      <c r="B56" s="2"/>
      <c r="C56" s="97"/>
      <c r="D56" s="97"/>
      <c r="E56" s="97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2"/>
      <c r="U56" s="2"/>
      <c r="V56" s="2"/>
      <c r="W56" s="2"/>
      <c r="X56" s="2"/>
    </row>
    <row r="57" spans="2:24">
      <c r="B57" s="2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2"/>
      <c r="U57" s="2"/>
      <c r="V57" s="2"/>
      <c r="W57" s="2"/>
      <c r="X57" s="2"/>
    </row>
    <row r="58" spans="2:24">
      <c r="B58" s="2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2"/>
      <c r="U58" s="2"/>
      <c r="V58" s="2"/>
      <c r="W58" s="2"/>
      <c r="X58" s="2"/>
    </row>
    <row r="59" spans="2:24">
      <c r="B59" s="2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2"/>
      <c r="U59" s="2"/>
      <c r="V59" s="2"/>
      <c r="W59" s="2"/>
      <c r="X59" s="2"/>
    </row>
    <row r="60" spans="2:24">
      <c r="B60" s="2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2"/>
      <c r="U60" s="2"/>
      <c r="V60" s="2"/>
      <c r="W60" s="2"/>
      <c r="X60" s="2"/>
    </row>
    <row r="61" spans="2:24">
      <c r="B61" s="2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2"/>
      <c r="U61" s="2"/>
      <c r="V61" s="2"/>
      <c r="W61" s="2"/>
      <c r="X61" s="2"/>
    </row>
    <row r="62" spans="2:24">
      <c r="B62" s="2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2"/>
      <c r="U62" s="2"/>
      <c r="V62" s="2"/>
      <c r="W62" s="2"/>
      <c r="X62" s="2"/>
    </row>
    <row r="63" spans="2:24">
      <c r="B63" s="2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2"/>
      <c r="U63" s="2"/>
      <c r="V63" s="2"/>
      <c r="W63" s="2"/>
      <c r="X63" s="2"/>
    </row>
    <row r="64" spans="2:24">
      <c r="B64" s="2"/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2"/>
      <c r="U64" s="2"/>
      <c r="V64" s="2"/>
      <c r="W64" s="2"/>
      <c r="X64" s="2"/>
    </row>
    <row r="65" spans="2:24">
      <c r="B65" s="2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2"/>
      <c r="U65" s="2"/>
      <c r="V65" s="2"/>
      <c r="W65" s="2"/>
      <c r="X65" s="2"/>
    </row>
    <row r="66" spans="2:24">
      <c r="B66" s="2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2"/>
      <c r="U66" s="2"/>
      <c r="V66" s="2"/>
      <c r="W66" s="2"/>
      <c r="X66" s="2"/>
    </row>
    <row r="67" spans="2:24">
      <c r="B67" s="2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2"/>
    </row>
    <row r="68" spans="2:24">
      <c r="B68" s="2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2"/>
    </row>
    <row r="69" spans="2:24">
      <c r="B69" s="2"/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2"/>
    </row>
    <row r="70" spans="2:24">
      <c r="B70" s="2"/>
      <c r="C70" s="97"/>
      <c r="D70" s="97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2"/>
    </row>
    <row r="71" spans="2:24">
      <c r="B71" s="2"/>
      <c r="C71" s="97"/>
      <c r="D71" s="97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2"/>
    </row>
    <row r="72" spans="2:24">
      <c r="B72" s="2"/>
      <c r="C72" s="97"/>
      <c r="D72" s="97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2"/>
    </row>
    <row r="73" spans="2:24">
      <c r="B73" s="2"/>
      <c r="C73" s="97"/>
      <c r="D73" s="97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2"/>
    </row>
    <row r="74" spans="2:24">
      <c r="B74" s="2"/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2"/>
    </row>
  </sheetData>
  <mergeCells count="8">
    <mergeCell ref="A4:B4"/>
    <mergeCell ref="A5:B5"/>
    <mergeCell ref="S3:S5"/>
    <mergeCell ref="A1:B1"/>
    <mergeCell ref="C1:S1"/>
    <mergeCell ref="A2:B2"/>
    <mergeCell ref="C2:S2"/>
    <mergeCell ref="A3:B3"/>
  </mergeCells>
  <phoneticPr fontId="45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74"/>
  <sheetViews>
    <sheetView zoomScale="85" zoomScaleNormal="85" workbookViewId="0">
      <pane xSplit="2" ySplit="7" topLeftCell="C8" activePane="bottomRight" state="frozen"/>
      <selection pane="topRight"/>
      <selection pane="bottomLeft"/>
      <selection pane="bottomRight" activeCell="C2" sqref="C2:S2"/>
    </sheetView>
  </sheetViews>
  <sheetFormatPr defaultColWidth="9" defaultRowHeight="16.5"/>
  <cols>
    <col min="1" max="1" width="5.125" style="71" customWidth="1"/>
    <col min="2" max="2" width="17.5" style="71" customWidth="1"/>
    <col min="3" max="18" width="14.375" style="74" customWidth="1"/>
    <col min="19" max="19" width="18.75" style="74" customWidth="1"/>
    <col min="20" max="20" width="12.375" style="71" customWidth="1"/>
    <col min="21" max="21" width="10.125" style="71" customWidth="1"/>
    <col min="22" max="28" width="9" style="71" customWidth="1"/>
    <col min="29" max="44" width="9" style="71"/>
    <col min="45" max="45" width="4.375" style="71" customWidth="1"/>
    <col min="46" max="46" width="13.875" style="71" customWidth="1"/>
    <col min="47" max="16384" width="9" style="71"/>
  </cols>
  <sheetData>
    <row r="1" spans="1:47">
      <c r="A1" s="241" t="s">
        <v>139</v>
      </c>
      <c r="B1" s="241"/>
      <c r="C1" s="245" t="s">
        <v>289</v>
      </c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7"/>
    </row>
    <row r="2" spans="1:47">
      <c r="A2" s="241" t="s">
        <v>140</v>
      </c>
      <c r="B2" s="241"/>
      <c r="C2" s="248" t="str">
        <f>'2026年'!$C$2</f>
        <v>光华海外工厂——戴姆勒卡车集团DTAG</v>
      </c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</row>
    <row r="3" spans="1:47" ht="22.5">
      <c r="A3" s="241" t="s">
        <v>141</v>
      </c>
      <c r="B3" s="241"/>
      <c r="C3" s="76" t="str">
        <f>'2026年'!C3</f>
        <v>3.0海外出口配件靠背骨架-电动</v>
      </c>
      <c r="D3" s="76" t="str">
        <f>'2026年'!D3</f>
        <v>3.0海外出口配件靠背骨架-手动</v>
      </c>
      <c r="E3" s="76">
        <f>'2026年'!E3</f>
        <v>0</v>
      </c>
      <c r="F3" s="76">
        <f>'2026年'!F3</f>
        <v>0</v>
      </c>
      <c r="G3" s="76">
        <f>'2026年'!G3</f>
        <v>0</v>
      </c>
      <c r="H3" s="76">
        <f>'2026年'!H3</f>
        <v>0</v>
      </c>
      <c r="I3" s="76">
        <f>'2026年'!I3</f>
        <v>0</v>
      </c>
      <c r="J3" s="76">
        <f>'2026年'!J3</f>
        <v>0</v>
      </c>
      <c r="K3" s="76">
        <f>'2026年'!K3</f>
        <v>0</v>
      </c>
      <c r="L3" s="76">
        <f>'2026年'!L3</f>
        <v>0</v>
      </c>
      <c r="M3" s="76">
        <f>'2026年'!M3</f>
        <v>0</v>
      </c>
      <c r="N3" s="76">
        <f>'2026年'!N3</f>
        <v>0</v>
      </c>
      <c r="O3" s="76">
        <f>'2026年'!O3</f>
        <v>0</v>
      </c>
      <c r="P3" s="76">
        <f>'2026年'!P3</f>
        <v>0</v>
      </c>
      <c r="Q3" s="76">
        <f>'2026年'!Q3</f>
        <v>0</v>
      </c>
      <c r="R3" s="76">
        <f>'2026年'!R3</f>
        <v>0</v>
      </c>
      <c r="S3" s="242" t="s">
        <v>49</v>
      </c>
    </row>
    <row r="4" spans="1:47">
      <c r="A4" s="241" t="s">
        <v>142</v>
      </c>
      <c r="B4" s="241"/>
      <c r="C4" s="76" t="str">
        <f>'2026年'!C4</f>
        <v>/</v>
      </c>
      <c r="D4" s="76" t="str">
        <f>'2026年'!D4</f>
        <v>/</v>
      </c>
      <c r="E4" s="76">
        <f>'2026年'!E4</f>
        <v>0</v>
      </c>
      <c r="F4" s="76">
        <f>'2026年'!F4</f>
        <v>0</v>
      </c>
      <c r="G4" s="76">
        <f>'2026年'!G4</f>
        <v>0</v>
      </c>
      <c r="H4" s="76">
        <f>'2026年'!H4</f>
        <v>0</v>
      </c>
      <c r="I4" s="76">
        <f>'2026年'!I4</f>
        <v>0</v>
      </c>
      <c r="J4" s="76">
        <f>'2026年'!J4</f>
        <v>0</v>
      </c>
      <c r="K4" s="76">
        <f>'2026年'!K4</f>
        <v>0</v>
      </c>
      <c r="L4" s="76">
        <f>'2026年'!L4</f>
        <v>0</v>
      </c>
      <c r="M4" s="76">
        <f>'2026年'!M4</f>
        <v>0</v>
      </c>
      <c r="N4" s="76">
        <f>'2026年'!N4</f>
        <v>0</v>
      </c>
      <c r="O4" s="76">
        <f>'2026年'!O4</f>
        <v>0</v>
      </c>
      <c r="P4" s="76">
        <f>'2026年'!P4</f>
        <v>0</v>
      </c>
      <c r="Q4" s="76">
        <f>'2026年'!Q4</f>
        <v>0</v>
      </c>
      <c r="R4" s="76">
        <f>'2026年'!R4</f>
        <v>0</v>
      </c>
      <c r="S4" s="243"/>
    </row>
    <row r="5" spans="1:47" ht="28.5">
      <c r="A5" s="241" t="s">
        <v>143</v>
      </c>
      <c r="B5" s="241"/>
      <c r="C5" s="77" t="str">
        <f>'2026年'!C5</f>
        <v>肩部折叠</v>
      </c>
      <c r="D5" s="77" t="str">
        <f>'2026年'!D5</f>
        <v>肩部折叠</v>
      </c>
      <c r="E5" s="77" t="str">
        <f>'2026年'!E5</f>
        <v>根据成本价格进行加价确认</v>
      </c>
      <c r="F5" s="77">
        <f>'2026年'!F5</f>
        <v>0</v>
      </c>
      <c r="G5" s="77">
        <f>'2026年'!G5</f>
        <v>0</v>
      </c>
      <c r="H5" s="77">
        <f>'2026年'!H5</f>
        <v>0</v>
      </c>
      <c r="I5" s="77">
        <f>'2026年'!I5</f>
        <v>0</v>
      </c>
      <c r="J5" s="77">
        <f>'2026年'!J5</f>
        <v>0</v>
      </c>
      <c r="K5" s="77">
        <f>'2026年'!K5</f>
        <v>0</v>
      </c>
      <c r="L5" s="77">
        <f>'2026年'!L5</f>
        <v>0</v>
      </c>
      <c r="M5" s="77">
        <f>'2026年'!M5</f>
        <v>0</v>
      </c>
      <c r="N5" s="77">
        <f>'2026年'!N5</f>
        <v>0</v>
      </c>
      <c r="O5" s="77">
        <f>'2026年'!O5</f>
        <v>0</v>
      </c>
      <c r="P5" s="77">
        <f>'2026年'!P5</f>
        <v>0</v>
      </c>
      <c r="Q5" s="77">
        <f>'2026年'!Q5</f>
        <v>0</v>
      </c>
      <c r="R5" s="77">
        <f>'2026年'!R5</f>
        <v>0</v>
      </c>
      <c r="S5" s="244"/>
      <c r="AU5" s="71" t="s">
        <v>50</v>
      </c>
    </row>
    <row r="6" spans="1:47" ht="17.25">
      <c r="A6" s="78" t="s">
        <v>18</v>
      </c>
      <c r="B6" s="79" t="s">
        <v>144</v>
      </c>
      <c r="C6" s="98">
        <f>销量!C10</f>
        <v>20000</v>
      </c>
      <c r="D6" s="98">
        <f>销量!D10</f>
        <v>20000</v>
      </c>
      <c r="E6" s="98">
        <f>销量!E10</f>
        <v>0</v>
      </c>
      <c r="F6" s="98">
        <f>销量!F10</f>
        <v>0</v>
      </c>
      <c r="G6" s="98">
        <f>销量!G10</f>
        <v>0</v>
      </c>
      <c r="H6" s="98">
        <f>销量!H10</f>
        <v>0</v>
      </c>
      <c r="I6" s="98">
        <f>销量!I10</f>
        <v>0</v>
      </c>
      <c r="J6" s="98">
        <f>销量!J10</f>
        <v>0</v>
      </c>
      <c r="K6" s="98">
        <f>销量!K10</f>
        <v>0</v>
      </c>
      <c r="L6" s="98">
        <f>销量!L10</f>
        <v>0</v>
      </c>
      <c r="M6" s="98">
        <f>销量!M10</f>
        <v>0</v>
      </c>
      <c r="N6" s="98">
        <f>销量!N10</f>
        <v>0</v>
      </c>
      <c r="O6" s="98">
        <f>销量!O10</f>
        <v>0</v>
      </c>
      <c r="P6" s="98">
        <f>销量!P10</f>
        <v>0</v>
      </c>
      <c r="Q6" s="98">
        <f>销量!Q10</f>
        <v>0</v>
      </c>
      <c r="R6" s="98">
        <f>销量!R10</f>
        <v>0</v>
      </c>
      <c r="S6" s="81">
        <f>+SUM(C6:R6)</f>
        <v>40000</v>
      </c>
      <c r="AS6" s="78" t="s">
        <v>18</v>
      </c>
      <c r="AT6" s="79" t="s">
        <v>3</v>
      </c>
      <c r="AU6" s="71" t="s">
        <v>51</v>
      </c>
    </row>
    <row r="7" spans="1:47">
      <c r="A7" s="75">
        <v>1</v>
      </c>
      <c r="B7" s="79" t="s">
        <v>52</v>
      </c>
      <c r="C7" s="81">
        <f>C6*销量!C8</f>
        <v>6285114.0170504153</v>
      </c>
      <c r="D7" s="81">
        <f>D6*销量!D8</f>
        <v>5483238.7741603032</v>
      </c>
      <c r="E7" s="81">
        <f>E6*销量!E8</f>
        <v>0</v>
      </c>
      <c r="F7" s="81">
        <f>F6*销量!F8</f>
        <v>0</v>
      </c>
      <c r="G7" s="81">
        <f>G6*销量!G8</f>
        <v>0</v>
      </c>
      <c r="H7" s="81">
        <f>H6*销量!H8</f>
        <v>0</v>
      </c>
      <c r="I7" s="81">
        <f>I6*销量!I8</f>
        <v>0</v>
      </c>
      <c r="J7" s="81">
        <f>J6*销量!J8</f>
        <v>0</v>
      </c>
      <c r="K7" s="81">
        <f>K6*销量!K8</f>
        <v>0</v>
      </c>
      <c r="L7" s="81">
        <f>L6*销量!L8</f>
        <v>0</v>
      </c>
      <c r="M7" s="81">
        <f>M6*销量!M8</f>
        <v>0</v>
      </c>
      <c r="N7" s="81">
        <f>N6*销量!N8</f>
        <v>0</v>
      </c>
      <c r="O7" s="81">
        <f>O6*销量!O8</f>
        <v>0</v>
      </c>
      <c r="P7" s="81">
        <f>P6*销量!P8</f>
        <v>0</v>
      </c>
      <c r="Q7" s="81">
        <f>Q6*销量!Q8</f>
        <v>0</v>
      </c>
      <c r="R7" s="81">
        <f>R6*销量!R8</f>
        <v>0</v>
      </c>
      <c r="S7" s="81">
        <f t="shared" ref="S7:S13" si="0">+SUM(C7:R7)</f>
        <v>11768352.791210718</v>
      </c>
      <c r="T7" s="74"/>
      <c r="AS7" s="78" t="s">
        <v>53</v>
      </c>
      <c r="AT7" s="79" t="s">
        <v>52</v>
      </c>
      <c r="AU7" s="71" t="s">
        <v>51</v>
      </c>
    </row>
    <row r="8" spans="1:47">
      <c r="A8" s="75">
        <v>2</v>
      </c>
      <c r="B8" s="75" t="s">
        <v>54</v>
      </c>
      <c r="C8" s="81">
        <f>C7*(1-销量!$V$7)</f>
        <v>0</v>
      </c>
      <c r="D8" s="81">
        <f>D7*(1-销量!$V$7)</f>
        <v>0</v>
      </c>
      <c r="E8" s="81">
        <f>E7*(1-销量!$V$7)</f>
        <v>0</v>
      </c>
      <c r="F8" s="81">
        <f>F7*(1-销量!$V$7)</f>
        <v>0</v>
      </c>
      <c r="G8" s="81">
        <f>G7*(1-销量!$V$7)</f>
        <v>0</v>
      </c>
      <c r="H8" s="81">
        <f>H7*(1-销量!$V$7)</f>
        <v>0</v>
      </c>
      <c r="I8" s="81">
        <f>I7*(1-销量!$V$7)</f>
        <v>0</v>
      </c>
      <c r="J8" s="81">
        <f>J7*(1-销量!$V$7)</f>
        <v>0</v>
      </c>
      <c r="K8" s="81">
        <f>K7*(1-销量!$V$7)</f>
        <v>0</v>
      </c>
      <c r="L8" s="81">
        <f>L7*(1-销量!$V$7)</f>
        <v>0</v>
      </c>
      <c r="M8" s="81">
        <f>M7*(1-销量!$V$7)</f>
        <v>0</v>
      </c>
      <c r="N8" s="81">
        <f>N7*(1-销量!$V$7)</f>
        <v>0</v>
      </c>
      <c r="O8" s="81">
        <f>O7*(1-销量!$V$7)</f>
        <v>0</v>
      </c>
      <c r="P8" s="81">
        <f>P7*(1-销量!$V$7)</f>
        <v>0</v>
      </c>
      <c r="Q8" s="81">
        <f>Q7*(1-销量!$V$7)</f>
        <v>0</v>
      </c>
      <c r="R8" s="81">
        <f>R7*(1-销量!$V$7)</f>
        <v>0</v>
      </c>
      <c r="S8" s="81">
        <f t="shared" si="0"/>
        <v>0</v>
      </c>
      <c r="T8" s="82"/>
      <c r="AS8" s="78" t="s">
        <v>55</v>
      </c>
      <c r="AT8" s="75" t="s">
        <v>56</v>
      </c>
      <c r="AU8" s="71" t="s">
        <v>51</v>
      </c>
    </row>
    <row r="9" spans="1:47">
      <c r="A9" s="75">
        <v>3</v>
      </c>
      <c r="B9" s="79" t="s">
        <v>57</v>
      </c>
      <c r="C9" s="81">
        <f>+C7-C8</f>
        <v>6285114.0170504153</v>
      </c>
      <c r="D9" s="81">
        <f>+D7-D8</f>
        <v>5483238.7741603032</v>
      </c>
      <c r="E9" s="81">
        <f t="shared" ref="E9:F9" si="1">+E7-E8</f>
        <v>0</v>
      </c>
      <c r="F9" s="81">
        <f t="shared" si="1"/>
        <v>0</v>
      </c>
      <c r="G9" s="81">
        <f t="shared" ref="G9:R9" si="2">+G7-G8</f>
        <v>0</v>
      </c>
      <c r="H9" s="81">
        <f t="shared" si="2"/>
        <v>0</v>
      </c>
      <c r="I9" s="81">
        <f t="shared" si="2"/>
        <v>0</v>
      </c>
      <c r="J9" s="81">
        <f t="shared" si="2"/>
        <v>0</v>
      </c>
      <c r="K9" s="81">
        <f t="shared" si="2"/>
        <v>0</v>
      </c>
      <c r="L9" s="81">
        <f t="shared" si="2"/>
        <v>0</v>
      </c>
      <c r="M9" s="81">
        <f t="shared" si="2"/>
        <v>0</v>
      </c>
      <c r="N9" s="81">
        <f t="shared" si="2"/>
        <v>0</v>
      </c>
      <c r="O9" s="81">
        <f t="shared" si="2"/>
        <v>0</v>
      </c>
      <c r="P9" s="81">
        <f t="shared" si="2"/>
        <v>0</v>
      </c>
      <c r="Q9" s="81">
        <f t="shared" si="2"/>
        <v>0</v>
      </c>
      <c r="R9" s="81">
        <f t="shared" si="2"/>
        <v>0</v>
      </c>
      <c r="S9" s="81">
        <f t="shared" si="0"/>
        <v>11768352.791210718</v>
      </c>
      <c r="AS9" s="78" t="s">
        <v>58</v>
      </c>
      <c r="AT9" s="79" t="s">
        <v>57</v>
      </c>
      <c r="AU9" s="71" t="s">
        <v>59</v>
      </c>
    </row>
    <row r="10" spans="1:47">
      <c r="A10" s="75">
        <v>4</v>
      </c>
      <c r="B10" s="78" t="s">
        <v>61</v>
      </c>
      <c r="C10" s="81">
        <f>C6*C33</f>
        <v>4399579.8119352907</v>
      </c>
      <c r="D10" s="81">
        <f>D6*D33</f>
        <v>3838267.1419122117</v>
      </c>
      <c r="E10" s="81">
        <f t="shared" ref="E10:F10" si="3">E6*E33</f>
        <v>0</v>
      </c>
      <c r="F10" s="81">
        <f t="shared" si="3"/>
        <v>0</v>
      </c>
      <c r="G10" s="81">
        <f t="shared" ref="G10:R10" si="4">G6*G33</f>
        <v>0</v>
      </c>
      <c r="H10" s="81">
        <f t="shared" si="4"/>
        <v>0</v>
      </c>
      <c r="I10" s="81">
        <f t="shared" si="4"/>
        <v>0</v>
      </c>
      <c r="J10" s="81">
        <f t="shared" si="4"/>
        <v>0</v>
      </c>
      <c r="K10" s="81">
        <f t="shared" si="4"/>
        <v>0</v>
      </c>
      <c r="L10" s="81">
        <f t="shared" si="4"/>
        <v>0</v>
      </c>
      <c r="M10" s="81">
        <f t="shared" si="4"/>
        <v>0</v>
      </c>
      <c r="N10" s="81">
        <f t="shared" si="4"/>
        <v>0</v>
      </c>
      <c r="O10" s="81">
        <f t="shared" si="4"/>
        <v>0</v>
      </c>
      <c r="P10" s="81">
        <f t="shared" si="4"/>
        <v>0</v>
      </c>
      <c r="Q10" s="81">
        <f t="shared" si="4"/>
        <v>0</v>
      </c>
      <c r="R10" s="81">
        <f t="shared" si="4"/>
        <v>0</v>
      </c>
      <c r="S10" s="81">
        <f t="shared" si="0"/>
        <v>8237846.9538475024</v>
      </c>
      <c r="AS10" s="78" t="s">
        <v>60</v>
      </c>
      <c r="AT10" s="78" t="s">
        <v>61</v>
      </c>
      <c r="AU10" s="71" t="s">
        <v>62</v>
      </c>
    </row>
    <row r="11" spans="1:47">
      <c r="A11" s="75">
        <v>5</v>
      </c>
      <c r="B11" s="78" t="s">
        <v>63</v>
      </c>
      <c r="C11" s="81">
        <f>+C6*C36</f>
        <v>501552.09856062313</v>
      </c>
      <c r="D11" s="81">
        <f>+D6*D36</f>
        <v>437562.45417799213</v>
      </c>
      <c r="E11" s="81">
        <f t="shared" ref="E11:F11" si="5">+E6*E36</f>
        <v>0</v>
      </c>
      <c r="F11" s="81">
        <f t="shared" si="5"/>
        <v>0</v>
      </c>
      <c r="G11" s="81">
        <f t="shared" ref="G11:R11" si="6">+G6*G36</f>
        <v>0</v>
      </c>
      <c r="H11" s="81">
        <f t="shared" si="6"/>
        <v>0</v>
      </c>
      <c r="I11" s="81">
        <f t="shared" si="6"/>
        <v>0</v>
      </c>
      <c r="J11" s="81">
        <f t="shared" si="6"/>
        <v>0</v>
      </c>
      <c r="K11" s="81">
        <f t="shared" si="6"/>
        <v>0</v>
      </c>
      <c r="L11" s="81">
        <f t="shared" si="6"/>
        <v>0</v>
      </c>
      <c r="M11" s="81">
        <f t="shared" si="6"/>
        <v>0</v>
      </c>
      <c r="N11" s="81">
        <f t="shared" si="6"/>
        <v>0</v>
      </c>
      <c r="O11" s="81">
        <f t="shared" si="6"/>
        <v>0</v>
      </c>
      <c r="P11" s="81">
        <f t="shared" si="6"/>
        <v>0</v>
      </c>
      <c r="Q11" s="81">
        <f t="shared" si="6"/>
        <v>0</v>
      </c>
      <c r="R11" s="81">
        <f t="shared" si="6"/>
        <v>0</v>
      </c>
      <c r="S11" s="81">
        <f t="shared" si="0"/>
        <v>939114.55273861531</v>
      </c>
      <c r="AS11" s="78" t="s">
        <v>64</v>
      </c>
      <c r="AT11" s="78" t="s">
        <v>63</v>
      </c>
    </row>
    <row r="12" spans="1:47">
      <c r="A12" s="75">
        <v>6</v>
      </c>
      <c r="B12" s="78" t="s">
        <v>65</v>
      </c>
      <c r="C12" s="81">
        <f>+C6*C37</f>
        <v>329968.48589514685</v>
      </c>
      <c r="D12" s="81">
        <f>+D6*D37</f>
        <v>287870.03564341593</v>
      </c>
      <c r="E12" s="81">
        <f t="shared" ref="E12:F12" si="7">+E6*E37</f>
        <v>0</v>
      </c>
      <c r="F12" s="81">
        <f t="shared" si="7"/>
        <v>0</v>
      </c>
      <c r="G12" s="81">
        <f t="shared" ref="G12:R12" si="8">+G6*G37</f>
        <v>0</v>
      </c>
      <c r="H12" s="81">
        <f t="shared" si="8"/>
        <v>0</v>
      </c>
      <c r="I12" s="81">
        <f t="shared" si="8"/>
        <v>0</v>
      </c>
      <c r="J12" s="81">
        <f t="shared" si="8"/>
        <v>0</v>
      </c>
      <c r="K12" s="81">
        <f t="shared" si="8"/>
        <v>0</v>
      </c>
      <c r="L12" s="81">
        <f t="shared" si="8"/>
        <v>0</v>
      </c>
      <c r="M12" s="81">
        <f t="shared" si="8"/>
        <v>0</v>
      </c>
      <c r="N12" s="81">
        <f t="shared" si="8"/>
        <v>0</v>
      </c>
      <c r="O12" s="81">
        <f t="shared" si="8"/>
        <v>0</v>
      </c>
      <c r="P12" s="81">
        <f t="shared" si="8"/>
        <v>0</v>
      </c>
      <c r="Q12" s="81">
        <f t="shared" si="8"/>
        <v>0</v>
      </c>
      <c r="R12" s="81">
        <f t="shared" si="8"/>
        <v>0</v>
      </c>
      <c r="S12" s="81">
        <f t="shared" si="0"/>
        <v>617838.52153856284</v>
      </c>
      <c r="AS12" s="78" t="s">
        <v>66</v>
      </c>
      <c r="AT12" s="78" t="s">
        <v>65</v>
      </c>
    </row>
    <row r="13" spans="1:47">
      <c r="A13" s="75">
        <v>7</v>
      </c>
      <c r="B13" s="78" t="s">
        <v>67</v>
      </c>
      <c r="C13" s="81">
        <f>+C6*C38</f>
        <v>147071.66799897968</v>
      </c>
      <c r="D13" s="81">
        <f>+D6*D38</f>
        <v>128307.78731535109</v>
      </c>
      <c r="E13" s="81">
        <f t="shared" ref="E13:F13" si="9">+E6*E38</f>
        <v>0</v>
      </c>
      <c r="F13" s="81">
        <f t="shared" si="9"/>
        <v>0</v>
      </c>
      <c r="G13" s="81">
        <f t="shared" ref="G13:R13" si="10">+G6*G38</f>
        <v>0</v>
      </c>
      <c r="H13" s="81">
        <f t="shared" si="10"/>
        <v>0</v>
      </c>
      <c r="I13" s="81">
        <f t="shared" si="10"/>
        <v>0</v>
      </c>
      <c r="J13" s="81">
        <f t="shared" si="10"/>
        <v>0</v>
      </c>
      <c r="K13" s="81">
        <f t="shared" si="10"/>
        <v>0</v>
      </c>
      <c r="L13" s="81">
        <f t="shared" si="10"/>
        <v>0</v>
      </c>
      <c r="M13" s="81">
        <f t="shared" si="10"/>
        <v>0</v>
      </c>
      <c r="N13" s="81">
        <f t="shared" si="10"/>
        <v>0</v>
      </c>
      <c r="O13" s="81">
        <f t="shared" si="10"/>
        <v>0</v>
      </c>
      <c r="P13" s="81">
        <f t="shared" si="10"/>
        <v>0</v>
      </c>
      <c r="Q13" s="81">
        <f t="shared" si="10"/>
        <v>0</v>
      </c>
      <c r="R13" s="81">
        <f t="shared" si="10"/>
        <v>0</v>
      </c>
      <c r="S13" s="81">
        <f t="shared" si="0"/>
        <v>275379.45531433076</v>
      </c>
      <c r="AS13" s="78" t="s">
        <v>68</v>
      </c>
      <c r="AT13" s="78" t="s">
        <v>67</v>
      </c>
      <c r="AU13" s="71" t="s">
        <v>51</v>
      </c>
    </row>
    <row r="14" spans="1:47">
      <c r="A14" s="75">
        <v>8</v>
      </c>
      <c r="B14" s="83" t="s">
        <v>69</v>
      </c>
      <c r="C14" s="81">
        <f>SUM(C11:C13)</f>
        <v>978592.25245474966</v>
      </c>
      <c r="D14" s="81">
        <f>SUM(D11:D13)</f>
        <v>853740.27713675913</v>
      </c>
      <c r="E14" s="81">
        <f t="shared" ref="E14:S14" si="11">SUM(E11:E13)</f>
        <v>0</v>
      </c>
      <c r="F14" s="81">
        <f t="shared" si="11"/>
        <v>0</v>
      </c>
      <c r="G14" s="81">
        <f t="shared" ref="G14:R14" si="12">SUM(G11:G13)</f>
        <v>0</v>
      </c>
      <c r="H14" s="81">
        <f t="shared" si="12"/>
        <v>0</v>
      </c>
      <c r="I14" s="81">
        <f t="shared" si="12"/>
        <v>0</v>
      </c>
      <c r="J14" s="81">
        <f t="shared" si="12"/>
        <v>0</v>
      </c>
      <c r="K14" s="81">
        <f t="shared" si="12"/>
        <v>0</v>
      </c>
      <c r="L14" s="81">
        <f t="shared" si="12"/>
        <v>0</v>
      </c>
      <c r="M14" s="81">
        <f t="shared" si="12"/>
        <v>0</v>
      </c>
      <c r="N14" s="81">
        <f t="shared" si="12"/>
        <v>0</v>
      </c>
      <c r="O14" s="81">
        <f t="shared" si="12"/>
        <v>0</v>
      </c>
      <c r="P14" s="81">
        <f t="shared" si="12"/>
        <v>0</v>
      </c>
      <c r="Q14" s="81">
        <f t="shared" si="12"/>
        <v>0</v>
      </c>
      <c r="R14" s="81">
        <f t="shared" si="12"/>
        <v>0</v>
      </c>
      <c r="S14" s="81">
        <f t="shared" si="11"/>
        <v>1832332.5295915089</v>
      </c>
      <c r="AS14" s="78" t="s">
        <v>70</v>
      </c>
      <c r="AT14" s="83" t="s">
        <v>69</v>
      </c>
    </row>
    <row r="15" spans="1:47">
      <c r="A15" s="75">
        <v>9</v>
      </c>
      <c r="B15" s="83" t="s">
        <v>71</v>
      </c>
      <c r="C15" s="81">
        <f>+C9-C10-C14</f>
        <v>906941.95266037493</v>
      </c>
      <c r="D15" s="81">
        <f>+D9-D10-D14</f>
        <v>791231.35511133238</v>
      </c>
      <c r="E15" s="81">
        <f t="shared" ref="E15:F15" si="13">+E9-E10-E14</f>
        <v>0</v>
      </c>
      <c r="F15" s="81">
        <f t="shared" si="13"/>
        <v>0</v>
      </c>
      <c r="G15" s="81">
        <f t="shared" ref="G15:R15" si="14">+G9-G10-G14</f>
        <v>0</v>
      </c>
      <c r="H15" s="81">
        <f t="shared" si="14"/>
        <v>0</v>
      </c>
      <c r="I15" s="81">
        <f t="shared" si="14"/>
        <v>0</v>
      </c>
      <c r="J15" s="81">
        <f t="shared" si="14"/>
        <v>0</v>
      </c>
      <c r="K15" s="81">
        <f t="shared" si="14"/>
        <v>0</v>
      </c>
      <c r="L15" s="81">
        <f t="shared" si="14"/>
        <v>0</v>
      </c>
      <c r="M15" s="81">
        <f t="shared" si="14"/>
        <v>0</v>
      </c>
      <c r="N15" s="81">
        <f t="shared" si="14"/>
        <v>0</v>
      </c>
      <c r="O15" s="81">
        <f t="shared" si="14"/>
        <v>0</v>
      </c>
      <c r="P15" s="81">
        <f t="shared" si="14"/>
        <v>0</v>
      </c>
      <c r="Q15" s="81">
        <f t="shared" si="14"/>
        <v>0</v>
      </c>
      <c r="R15" s="81">
        <f t="shared" si="14"/>
        <v>0</v>
      </c>
      <c r="S15" s="81">
        <f>+S9-S10-S14</f>
        <v>1698173.3077717072</v>
      </c>
      <c r="AS15" s="78" t="s">
        <v>72</v>
      </c>
      <c r="AT15" s="83" t="s">
        <v>71</v>
      </c>
    </row>
    <row r="16" spans="1:47">
      <c r="A16" s="75">
        <v>10</v>
      </c>
      <c r="B16" s="78" t="s">
        <v>73</v>
      </c>
      <c r="C16" s="84">
        <f>+C15/C9</f>
        <v>0.14430000000000001</v>
      </c>
      <c r="D16" s="84">
        <f>+D15/D9</f>
        <v>0.14430000000000012</v>
      </c>
      <c r="E16" s="84" t="e">
        <f t="shared" ref="E16:F16" si="15">+E15/E9</f>
        <v>#DIV/0!</v>
      </c>
      <c r="F16" s="84" t="e">
        <f t="shared" si="15"/>
        <v>#DIV/0!</v>
      </c>
      <c r="G16" s="84" t="e">
        <f t="shared" ref="G16:R16" si="16">+G15/G9</f>
        <v>#DIV/0!</v>
      </c>
      <c r="H16" s="84" t="e">
        <f t="shared" si="16"/>
        <v>#DIV/0!</v>
      </c>
      <c r="I16" s="84" t="e">
        <f t="shared" si="16"/>
        <v>#DIV/0!</v>
      </c>
      <c r="J16" s="84" t="e">
        <f t="shared" si="16"/>
        <v>#DIV/0!</v>
      </c>
      <c r="K16" s="84" t="e">
        <f t="shared" si="16"/>
        <v>#DIV/0!</v>
      </c>
      <c r="L16" s="84" t="e">
        <f t="shared" si="16"/>
        <v>#DIV/0!</v>
      </c>
      <c r="M16" s="84" t="e">
        <f t="shared" si="16"/>
        <v>#DIV/0!</v>
      </c>
      <c r="N16" s="84" t="e">
        <f t="shared" si="16"/>
        <v>#DIV/0!</v>
      </c>
      <c r="O16" s="84" t="e">
        <f t="shared" si="16"/>
        <v>#DIV/0!</v>
      </c>
      <c r="P16" s="84" t="e">
        <f t="shared" si="16"/>
        <v>#DIV/0!</v>
      </c>
      <c r="Q16" s="84" t="e">
        <f t="shared" si="16"/>
        <v>#DIV/0!</v>
      </c>
      <c r="R16" s="84" t="e">
        <f t="shared" si="16"/>
        <v>#DIV/0!</v>
      </c>
      <c r="S16" s="84">
        <f>+S15/S9</f>
        <v>0.14430000000000004</v>
      </c>
      <c r="AS16" s="78" t="s">
        <v>74</v>
      </c>
      <c r="AT16" s="78" t="s">
        <v>73</v>
      </c>
    </row>
    <row r="17" spans="1:47">
      <c r="A17" s="75">
        <v>11</v>
      </c>
      <c r="B17" s="78" t="s">
        <v>75</v>
      </c>
      <c r="C17" s="81">
        <f>C6*C43+C18</f>
        <v>530847.71727929125</v>
      </c>
      <c r="D17" s="81">
        <f>D6*D43+D18</f>
        <v>480089.01440434717</v>
      </c>
      <c r="E17" s="81">
        <f t="shared" ref="E17:F17" si="17">E6*E43+E18</f>
        <v>0</v>
      </c>
      <c r="F17" s="81">
        <f t="shared" si="17"/>
        <v>0</v>
      </c>
      <c r="G17" s="81">
        <f t="shared" ref="G17:R17" si="18">G6*G43+G18</f>
        <v>0</v>
      </c>
      <c r="H17" s="81">
        <f t="shared" si="18"/>
        <v>0</v>
      </c>
      <c r="I17" s="81">
        <f t="shared" si="18"/>
        <v>0</v>
      </c>
      <c r="J17" s="81">
        <f t="shared" si="18"/>
        <v>0</v>
      </c>
      <c r="K17" s="81">
        <f t="shared" si="18"/>
        <v>0</v>
      </c>
      <c r="L17" s="81">
        <f t="shared" si="18"/>
        <v>0</v>
      </c>
      <c r="M17" s="81">
        <f t="shared" si="18"/>
        <v>0</v>
      </c>
      <c r="N17" s="81">
        <f t="shared" si="18"/>
        <v>0</v>
      </c>
      <c r="O17" s="81">
        <f t="shared" si="18"/>
        <v>0</v>
      </c>
      <c r="P17" s="81">
        <f t="shared" si="18"/>
        <v>0</v>
      </c>
      <c r="Q17" s="81">
        <f t="shared" si="18"/>
        <v>0</v>
      </c>
      <c r="R17" s="81">
        <f t="shared" si="18"/>
        <v>0</v>
      </c>
      <c r="S17" s="81">
        <f>+SUM(C17:R17)</f>
        <v>1010936.7316836384</v>
      </c>
      <c r="T17" s="82"/>
      <c r="AS17" s="78" t="s">
        <v>76</v>
      </c>
      <c r="AT17" s="78" t="s">
        <v>75</v>
      </c>
    </row>
    <row r="18" spans="1:47" s="72" customFormat="1">
      <c r="A18" s="75">
        <v>12</v>
      </c>
      <c r="B18" s="86" t="s">
        <v>145</v>
      </c>
      <c r="C18" s="87">
        <f>$S$18/$S$6*C6</f>
        <v>133000</v>
      </c>
      <c r="D18" s="87">
        <f>$S$18/$S$6*D6</f>
        <v>133000</v>
      </c>
      <c r="E18" s="87">
        <f>$S$18/$S$6*E6</f>
        <v>0</v>
      </c>
      <c r="F18" s="87">
        <f>$S$18/$S$6*F6</f>
        <v>0</v>
      </c>
      <c r="G18" s="87">
        <f t="shared" ref="G18:R18" si="19">$S$18/$S$6*G6</f>
        <v>0</v>
      </c>
      <c r="H18" s="87">
        <f t="shared" si="19"/>
        <v>0</v>
      </c>
      <c r="I18" s="87">
        <f t="shared" si="19"/>
        <v>0</v>
      </c>
      <c r="J18" s="87">
        <f t="shared" si="19"/>
        <v>0</v>
      </c>
      <c r="K18" s="87">
        <f t="shared" si="19"/>
        <v>0</v>
      </c>
      <c r="L18" s="87">
        <f t="shared" si="19"/>
        <v>0</v>
      </c>
      <c r="M18" s="87">
        <f t="shared" si="19"/>
        <v>0</v>
      </c>
      <c r="N18" s="87">
        <f t="shared" si="19"/>
        <v>0</v>
      </c>
      <c r="O18" s="87">
        <f t="shared" si="19"/>
        <v>0</v>
      </c>
      <c r="P18" s="87">
        <f t="shared" si="19"/>
        <v>0</v>
      </c>
      <c r="Q18" s="87">
        <f t="shared" si="19"/>
        <v>0</v>
      </c>
      <c r="R18" s="87">
        <f t="shared" si="19"/>
        <v>0</v>
      </c>
      <c r="S18" s="81">
        <f>项目投资!E26</f>
        <v>266000</v>
      </c>
      <c r="T18" s="88" t="s">
        <v>146</v>
      </c>
      <c r="U18" s="88"/>
      <c r="V18" s="88"/>
    </row>
    <row r="19" spans="1:47">
      <c r="A19" s="75">
        <v>13</v>
      </c>
      <c r="B19" s="78" t="s">
        <v>77</v>
      </c>
      <c r="C19" s="81">
        <f>C6*C44</f>
        <v>0</v>
      </c>
      <c r="D19" s="81">
        <f>D6*D44</f>
        <v>0</v>
      </c>
      <c r="E19" s="81">
        <f t="shared" ref="E19:F19" si="20">E6*E44</f>
        <v>0</v>
      </c>
      <c r="F19" s="81">
        <f t="shared" si="20"/>
        <v>0</v>
      </c>
      <c r="G19" s="81">
        <f t="shared" ref="G19:R19" si="21">G6*G44</f>
        <v>0</v>
      </c>
      <c r="H19" s="81">
        <f t="shared" si="21"/>
        <v>0</v>
      </c>
      <c r="I19" s="81">
        <f t="shared" si="21"/>
        <v>0</v>
      </c>
      <c r="J19" s="81">
        <f t="shared" si="21"/>
        <v>0</v>
      </c>
      <c r="K19" s="81">
        <f t="shared" si="21"/>
        <v>0</v>
      </c>
      <c r="L19" s="81">
        <f t="shared" si="21"/>
        <v>0</v>
      </c>
      <c r="M19" s="81">
        <f t="shared" si="21"/>
        <v>0</v>
      </c>
      <c r="N19" s="81">
        <f t="shared" si="21"/>
        <v>0</v>
      </c>
      <c r="O19" s="81">
        <f t="shared" si="21"/>
        <v>0</v>
      </c>
      <c r="P19" s="81">
        <f t="shared" si="21"/>
        <v>0</v>
      </c>
      <c r="Q19" s="81">
        <f t="shared" si="21"/>
        <v>0</v>
      </c>
      <c r="R19" s="81">
        <f t="shared" si="21"/>
        <v>0</v>
      </c>
      <c r="S19" s="81">
        <f t="shared" ref="S19:S20" si="22">+SUM(C19:R19)</f>
        <v>0</v>
      </c>
      <c r="T19" s="72"/>
      <c r="AS19" s="78" t="s">
        <v>78</v>
      </c>
      <c r="AT19" s="78" t="s">
        <v>77</v>
      </c>
      <c r="AU19" s="71" t="s">
        <v>51</v>
      </c>
    </row>
    <row r="20" spans="1:47">
      <c r="A20" s="75">
        <v>14</v>
      </c>
      <c r="B20" s="78" t="s">
        <v>79</v>
      </c>
      <c r="C20" s="81">
        <f>C6*C45</f>
        <v>30797.058683547035</v>
      </c>
      <c r="D20" s="81">
        <f>D6*D45</f>
        <v>26867.869993385484</v>
      </c>
      <c r="E20" s="81">
        <f t="shared" ref="E20:F20" si="23">E6*E45</f>
        <v>0</v>
      </c>
      <c r="F20" s="81">
        <f t="shared" si="23"/>
        <v>0</v>
      </c>
      <c r="G20" s="81">
        <f t="shared" ref="G20:R20" si="24">G6*G45</f>
        <v>0</v>
      </c>
      <c r="H20" s="81">
        <f t="shared" si="24"/>
        <v>0</v>
      </c>
      <c r="I20" s="81">
        <f t="shared" si="24"/>
        <v>0</v>
      </c>
      <c r="J20" s="81">
        <f t="shared" si="24"/>
        <v>0</v>
      </c>
      <c r="K20" s="81">
        <f t="shared" si="24"/>
        <v>0</v>
      </c>
      <c r="L20" s="81">
        <f t="shared" si="24"/>
        <v>0</v>
      </c>
      <c r="M20" s="81">
        <f t="shared" si="24"/>
        <v>0</v>
      </c>
      <c r="N20" s="81">
        <f t="shared" si="24"/>
        <v>0</v>
      </c>
      <c r="O20" s="81">
        <f t="shared" si="24"/>
        <v>0</v>
      </c>
      <c r="P20" s="81">
        <f t="shared" si="24"/>
        <v>0</v>
      </c>
      <c r="Q20" s="81">
        <f t="shared" si="24"/>
        <v>0</v>
      </c>
      <c r="R20" s="81">
        <f t="shared" si="24"/>
        <v>0</v>
      </c>
      <c r="S20" s="81">
        <f t="shared" si="22"/>
        <v>57664.928676932519</v>
      </c>
      <c r="AS20" s="78" t="s">
        <v>80</v>
      </c>
      <c r="AT20" s="78" t="s">
        <v>79</v>
      </c>
    </row>
    <row r="21" spans="1:47">
      <c r="A21" s="75">
        <v>15</v>
      </c>
      <c r="B21" s="78" t="s">
        <v>81</v>
      </c>
      <c r="C21" s="89">
        <f>$S$21/$S$6*C6</f>
        <v>10000</v>
      </c>
      <c r="D21" s="89">
        <f>$S$21/$S$6*D6</f>
        <v>10000</v>
      </c>
      <c r="E21" s="89">
        <f t="shared" ref="E21:F21" si="25">$S$21/$S$6*E6</f>
        <v>0</v>
      </c>
      <c r="F21" s="89">
        <f t="shared" si="25"/>
        <v>0</v>
      </c>
      <c r="G21" s="89">
        <f t="shared" ref="G21:R21" si="26">$S$21/$S$6*G6</f>
        <v>0</v>
      </c>
      <c r="H21" s="89">
        <f t="shared" si="26"/>
        <v>0</v>
      </c>
      <c r="I21" s="89">
        <f t="shared" si="26"/>
        <v>0</v>
      </c>
      <c r="J21" s="89">
        <f t="shared" si="26"/>
        <v>0</v>
      </c>
      <c r="K21" s="89">
        <f t="shared" si="26"/>
        <v>0</v>
      </c>
      <c r="L21" s="89">
        <f t="shared" si="26"/>
        <v>0</v>
      </c>
      <c r="M21" s="89">
        <f t="shared" si="26"/>
        <v>0</v>
      </c>
      <c r="N21" s="89">
        <f t="shared" si="26"/>
        <v>0</v>
      </c>
      <c r="O21" s="89">
        <f t="shared" si="26"/>
        <v>0</v>
      </c>
      <c r="P21" s="89">
        <f t="shared" si="26"/>
        <v>0</v>
      </c>
      <c r="Q21" s="89">
        <f t="shared" si="26"/>
        <v>0</v>
      </c>
      <c r="R21" s="89">
        <f t="shared" si="26"/>
        <v>0</v>
      </c>
      <c r="S21" s="81">
        <f>项目投资!E27</f>
        <v>20000</v>
      </c>
      <c r="AS21" s="78"/>
      <c r="AT21" s="78"/>
    </row>
    <row r="22" spans="1:47">
      <c r="A22" s="75">
        <v>16</v>
      </c>
      <c r="B22" s="78" t="s">
        <v>82</v>
      </c>
      <c r="C22" s="81">
        <f>C6*C47</f>
        <v>233806.24143427543</v>
      </c>
      <c r="D22" s="81">
        <f>D6*D47</f>
        <v>203976.48239876324</v>
      </c>
      <c r="E22" s="81">
        <f t="shared" ref="E22:F22" si="27">E6*E47</f>
        <v>0</v>
      </c>
      <c r="F22" s="81">
        <f t="shared" si="27"/>
        <v>0</v>
      </c>
      <c r="G22" s="81">
        <f t="shared" ref="G22:R22" si="28">G6*G47</f>
        <v>0</v>
      </c>
      <c r="H22" s="81">
        <f t="shared" si="28"/>
        <v>0</v>
      </c>
      <c r="I22" s="81">
        <f t="shared" si="28"/>
        <v>0</v>
      </c>
      <c r="J22" s="81">
        <f t="shared" si="28"/>
        <v>0</v>
      </c>
      <c r="K22" s="81">
        <f t="shared" si="28"/>
        <v>0</v>
      </c>
      <c r="L22" s="81">
        <f t="shared" si="28"/>
        <v>0</v>
      </c>
      <c r="M22" s="81">
        <f t="shared" si="28"/>
        <v>0</v>
      </c>
      <c r="N22" s="81">
        <f t="shared" si="28"/>
        <v>0</v>
      </c>
      <c r="O22" s="81">
        <f t="shared" si="28"/>
        <v>0</v>
      </c>
      <c r="P22" s="81">
        <f t="shared" si="28"/>
        <v>0</v>
      </c>
      <c r="Q22" s="81">
        <f t="shared" si="28"/>
        <v>0</v>
      </c>
      <c r="R22" s="81">
        <f t="shared" si="28"/>
        <v>0</v>
      </c>
      <c r="S22" s="81">
        <f>+SUM(C22:R22)</f>
        <v>437782.7238330387</v>
      </c>
      <c r="AS22" s="78" t="s">
        <v>83</v>
      </c>
      <c r="AT22" s="78" t="s">
        <v>82</v>
      </c>
    </row>
    <row r="23" spans="1:47">
      <c r="A23" s="75">
        <v>17</v>
      </c>
      <c r="B23" s="83" t="s">
        <v>84</v>
      </c>
      <c r="C23" s="89">
        <f>+C22+C21+C20+C19+C17</f>
        <v>805451.01739711373</v>
      </c>
      <c r="D23" s="89">
        <f>+D22+D21+D20+D19+D17</f>
        <v>720933.36679649586</v>
      </c>
      <c r="E23" s="89">
        <f t="shared" ref="E23:F23" si="29">+E22+E21+E20+E19+E17</f>
        <v>0</v>
      </c>
      <c r="F23" s="89">
        <f t="shared" si="29"/>
        <v>0</v>
      </c>
      <c r="G23" s="89">
        <f t="shared" ref="G23:R23" si="30">+G22+G21+G20+G19+G17</f>
        <v>0</v>
      </c>
      <c r="H23" s="89">
        <f t="shared" si="30"/>
        <v>0</v>
      </c>
      <c r="I23" s="89">
        <f t="shared" si="30"/>
        <v>0</v>
      </c>
      <c r="J23" s="89">
        <f t="shared" si="30"/>
        <v>0</v>
      </c>
      <c r="K23" s="89">
        <f t="shared" si="30"/>
        <v>0</v>
      </c>
      <c r="L23" s="89">
        <f t="shared" si="30"/>
        <v>0</v>
      </c>
      <c r="M23" s="89">
        <f t="shared" si="30"/>
        <v>0</v>
      </c>
      <c r="N23" s="89">
        <f t="shared" si="30"/>
        <v>0</v>
      </c>
      <c r="O23" s="89">
        <f t="shared" si="30"/>
        <v>0</v>
      </c>
      <c r="P23" s="89">
        <f t="shared" si="30"/>
        <v>0</v>
      </c>
      <c r="Q23" s="89">
        <f t="shared" si="30"/>
        <v>0</v>
      </c>
      <c r="R23" s="89">
        <f t="shared" si="30"/>
        <v>0</v>
      </c>
      <c r="S23" s="89">
        <f>+S22+S21+S20+S19+S17</f>
        <v>1526384.3841936097</v>
      </c>
      <c r="AS23" s="78" t="s">
        <v>85</v>
      </c>
      <c r="AT23" s="83" t="s">
        <v>84</v>
      </c>
    </row>
    <row r="24" spans="1:47">
      <c r="A24" s="75">
        <v>18</v>
      </c>
      <c r="B24" s="90" t="s">
        <v>86</v>
      </c>
      <c r="C24" s="89">
        <f>+C15-C23</f>
        <v>101490.9352632612</v>
      </c>
      <c r="D24" s="89">
        <f>+D15-D23</f>
        <v>70297.988314836519</v>
      </c>
      <c r="E24" s="89">
        <f t="shared" ref="E24:F24" si="31">+E15-E23</f>
        <v>0</v>
      </c>
      <c r="F24" s="89">
        <f t="shared" si="31"/>
        <v>0</v>
      </c>
      <c r="G24" s="89">
        <f t="shared" ref="G24:R24" si="32">+G15-G23</f>
        <v>0</v>
      </c>
      <c r="H24" s="89">
        <f t="shared" si="32"/>
        <v>0</v>
      </c>
      <c r="I24" s="89">
        <f t="shared" si="32"/>
        <v>0</v>
      </c>
      <c r="J24" s="89">
        <f t="shared" si="32"/>
        <v>0</v>
      </c>
      <c r="K24" s="89">
        <f t="shared" si="32"/>
        <v>0</v>
      </c>
      <c r="L24" s="89">
        <f t="shared" si="32"/>
        <v>0</v>
      </c>
      <c r="M24" s="89">
        <f t="shared" si="32"/>
        <v>0</v>
      </c>
      <c r="N24" s="89">
        <f t="shared" si="32"/>
        <v>0</v>
      </c>
      <c r="O24" s="89">
        <f t="shared" si="32"/>
        <v>0</v>
      </c>
      <c r="P24" s="89">
        <f t="shared" si="32"/>
        <v>0</v>
      </c>
      <c r="Q24" s="89">
        <f t="shared" si="32"/>
        <v>0</v>
      </c>
      <c r="R24" s="89">
        <f t="shared" si="32"/>
        <v>0</v>
      </c>
      <c r="S24" s="89">
        <f>+S15-S23</f>
        <v>171788.92357809749</v>
      </c>
      <c r="U24" s="91"/>
      <c r="AS24" s="78" t="s">
        <v>87</v>
      </c>
      <c r="AT24" s="78" t="s">
        <v>86</v>
      </c>
    </row>
    <row r="25" spans="1:47">
      <c r="A25" s="75">
        <v>19</v>
      </c>
      <c r="B25" s="78" t="s">
        <v>264</v>
      </c>
      <c r="C25" s="89">
        <f>IF(C24&lt;0,0,C24*0.15)</f>
        <v>15223.64028948918</v>
      </c>
      <c r="D25" s="89">
        <f t="shared" ref="D25:S25" si="33">IF(D24&lt;0,0,D24*0.15)</f>
        <v>10544.698247225477</v>
      </c>
      <c r="E25" s="89">
        <f t="shared" ref="E25:F25" si="34">IF(E24&lt;0,0,E24*0.15)</f>
        <v>0</v>
      </c>
      <c r="F25" s="89">
        <f t="shared" si="34"/>
        <v>0</v>
      </c>
      <c r="G25" s="89">
        <f t="shared" ref="G25:R25" si="35">IF(G24&lt;0,0,G24*0.15)</f>
        <v>0</v>
      </c>
      <c r="H25" s="89">
        <f t="shared" si="35"/>
        <v>0</v>
      </c>
      <c r="I25" s="89">
        <f t="shared" si="35"/>
        <v>0</v>
      </c>
      <c r="J25" s="89">
        <f t="shared" si="35"/>
        <v>0</v>
      </c>
      <c r="K25" s="89">
        <f t="shared" si="35"/>
        <v>0</v>
      </c>
      <c r="L25" s="89">
        <f t="shared" si="35"/>
        <v>0</v>
      </c>
      <c r="M25" s="89">
        <f t="shared" si="35"/>
        <v>0</v>
      </c>
      <c r="N25" s="89">
        <f t="shared" si="35"/>
        <v>0</v>
      </c>
      <c r="O25" s="89">
        <f t="shared" si="35"/>
        <v>0</v>
      </c>
      <c r="P25" s="89">
        <f t="shared" si="35"/>
        <v>0</v>
      </c>
      <c r="Q25" s="89">
        <f t="shared" si="35"/>
        <v>0</v>
      </c>
      <c r="R25" s="89">
        <f t="shared" si="35"/>
        <v>0</v>
      </c>
      <c r="S25" s="89">
        <f t="shared" si="33"/>
        <v>25768.338536714622</v>
      </c>
      <c r="T25" s="2"/>
      <c r="U25" s="2"/>
      <c r="V25" s="2"/>
      <c r="AS25" s="78" t="s">
        <v>88</v>
      </c>
      <c r="AT25" s="78" t="s">
        <v>35</v>
      </c>
    </row>
    <row r="26" spans="1:47">
      <c r="A26" s="75">
        <v>20</v>
      </c>
      <c r="B26" s="78" t="s">
        <v>89</v>
      </c>
      <c r="C26" s="89">
        <f>C24-C25</f>
        <v>86267.294973772019</v>
      </c>
      <c r="D26" s="89">
        <f>D24-D25</f>
        <v>59753.290067611044</v>
      </c>
      <c r="E26" s="89">
        <f t="shared" ref="E26:F26" si="36">E24-E25</f>
        <v>0</v>
      </c>
      <c r="F26" s="89">
        <f t="shared" si="36"/>
        <v>0</v>
      </c>
      <c r="G26" s="89">
        <f t="shared" ref="G26:R26" si="37">G24-G25</f>
        <v>0</v>
      </c>
      <c r="H26" s="89">
        <f t="shared" si="37"/>
        <v>0</v>
      </c>
      <c r="I26" s="89">
        <f t="shared" si="37"/>
        <v>0</v>
      </c>
      <c r="J26" s="89">
        <f t="shared" si="37"/>
        <v>0</v>
      </c>
      <c r="K26" s="89">
        <f t="shared" si="37"/>
        <v>0</v>
      </c>
      <c r="L26" s="89">
        <f t="shared" si="37"/>
        <v>0</v>
      </c>
      <c r="M26" s="89">
        <f t="shared" si="37"/>
        <v>0</v>
      </c>
      <c r="N26" s="89">
        <f t="shared" si="37"/>
        <v>0</v>
      </c>
      <c r="O26" s="89">
        <f t="shared" si="37"/>
        <v>0</v>
      </c>
      <c r="P26" s="89">
        <f t="shared" si="37"/>
        <v>0</v>
      </c>
      <c r="Q26" s="89">
        <f t="shared" si="37"/>
        <v>0</v>
      </c>
      <c r="R26" s="89">
        <f t="shared" si="37"/>
        <v>0</v>
      </c>
      <c r="S26" s="89">
        <f>S24-S25</f>
        <v>146020.58504138287</v>
      </c>
      <c r="T26" s="2"/>
      <c r="U26" s="2"/>
      <c r="V26" s="2"/>
      <c r="AS26" s="78" t="s">
        <v>90</v>
      </c>
      <c r="AT26" s="78" t="s">
        <v>89</v>
      </c>
    </row>
    <row r="27" spans="1:47">
      <c r="A27" s="75">
        <v>21</v>
      </c>
      <c r="B27" s="78" t="s">
        <v>93</v>
      </c>
      <c r="C27" s="92">
        <f>C26/C9</f>
        <v>1.3725653144834593E-2</v>
      </c>
      <c r="D27" s="92">
        <f t="shared" ref="D27:F27" si="38">D26/D9</f>
        <v>1.0897444471905493E-2</v>
      </c>
      <c r="E27" s="92" t="e">
        <f t="shared" si="38"/>
        <v>#DIV/0!</v>
      </c>
      <c r="F27" s="92" t="e">
        <f t="shared" si="38"/>
        <v>#DIV/0!</v>
      </c>
      <c r="G27" s="92" t="e">
        <f t="shared" ref="G27:R27" si="39">G26/G9</f>
        <v>#DIV/0!</v>
      </c>
      <c r="H27" s="92" t="e">
        <f t="shared" si="39"/>
        <v>#DIV/0!</v>
      </c>
      <c r="I27" s="92" t="e">
        <f t="shared" si="39"/>
        <v>#DIV/0!</v>
      </c>
      <c r="J27" s="92" t="e">
        <f t="shared" si="39"/>
        <v>#DIV/0!</v>
      </c>
      <c r="K27" s="92" t="e">
        <f t="shared" si="39"/>
        <v>#DIV/0!</v>
      </c>
      <c r="L27" s="92" t="e">
        <f t="shared" si="39"/>
        <v>#DIV/0!</v>
      </c>
      <c r="M27" s="92" t="e">
        <f t="shared" si="39"/>
        <v>#DIV/0!</v>
      </c>
      <c r="N27" s="92" t="e">
        <f t="shared" si="39"/>
        <v>#DIV/0!</v>
      </c>
      <c r="O27" s="92" t="e">
        <f t="shared" si="39"/>
        <v>#DIV/0!</v>
      </c>
      <c r="P27" s="92" t="e">
        <f t="shared" si="39"/>
        <v>#DIV/0!</v>
      </c>
      <c r="Q27" s="92" t="e">
        <f t="shared" si="39"/>
        <v>#DIV/0!</v>
      </c>
      <c r="R27" s="92" t="e">
        <f t="shared" si="39"/>
        <v>#DIV/0!</v>
      </c>
      <c r="S27" s="92">
        <f>S26/S9</f>
        <v>1.2407903436616841E-2</v>
      </c>
      <c r="T27" s="2"/>
      <c r="U27" s="2"/>
      <c r="V27" s="2"/>
      <c r="AS27" s="78" t="s">
        <v>92</v>
      </c>
      <c r="AT27" s="78" t="s">
        <v>93</v>
      </c>
    </row>
    <row r="28" spans="1:47">
      <c r="T28" s="2"/>
      <c r="U28" s="2"/>
      <c r="V28" s="2"/>
    </row>
    <row r="29" spans="1:47">
      <c r="A29" s="71" t="s">
        <v>94</v>
      </c>
      <c r="S29" s="74" t="s">
        <v>147</v>
      </c>
      <c r="T29" s="2"/>
      <c r="U29" s="2"/>
      <c r="V29" s="2"/>
      <c r="AS29" s="71" t="s">
        <v>94</v>
      </c>
    </row>
    <row r="30" spans="1:47">
      <c r="A30" s="78" t="s">
        <v>95</v>
      </c>
      <c r="B30" s="83" t="s">
        <v>96</v>
      </c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2"/>
      <c r="U30" s="2"/>
      <c r="V30" s="2"/>
      <c r="X30" s="2"/>
      <c r="AS30" s="78" t="s">
        <v>97</v>
      </c>
      <c r="AT30" s="83" t="s">
        <v>96</v>
      </c>
    </row>
    <row r="31" spans="1:47">
      <c r="A31" s="75">
        <v>1</v>
      </c>
      <c r="B31" s="86" t="s">
        <v>98</v>
      </c>
      <c r="C31" s="93">
        <f>销量!C8</f>
        <v>314.25570085252076</v>
      </c>
      <c r="D31" s="93">
        <f>销量!D8</f>
        <v>274.16193870801516</v>
      </c>
      <c r="E31" s="93">
        <f>销量!E8</f>
        <v>0</v>
      </c>
      <c r="F31" s="93">
        <f>销量!F8</f>
        <v>0</v>
      </c>
      <c r="G31" s="93">
        <f>销量!G8</f>
        <v>0</v>
      </c>
      <c r="H31" s="93">
        <f>销量!H8</f>
        <v>0</v>
      </c>
      <c r="I31" s="93">
        <f>销量!I8</f>
        <v>0</v>
      </c>
      <c r="J31" s="93">
        <f>销量!J8</f>
        <v>0</v>
      </c>
      <c r="K31" s="93">
        <f>销量!K8</f>
        <v>0</v>
      </c>
      <c r="L31" s="93">
        <f>销量!L8</f>
        <v>0</v>
      </c>
      <c r="M31" s="93">
        <f>销量!M8</f>
        <v>0</v>
      </c>
      <c r="N31" s="93">
        <f>销量!N8</f>
        <v>0</v>
      </c>
      <c r="O31" s="93">
        <f>销量!O8</f>
        <v>0</v>
      </c>
      <c r="P31" s="93">
        <f>销量!P8</f>
        <v>0</v>
      </c>
      <c r="Q31" s="93">
        <f>销量!Q8</f>
        <v>0</v>
      </c>
      <c r="R31" s="93">
        <f>销量!R8</f>
        <v>0</v>
      </c>
      <c r="S31" s="89"/>
      <c r="T31" s="2"/>
      <c r="U31" s="2"/>
      <c r="V31" s="2"/>
      <c r="X31" s="2"/>
      <c r="AS31" s="78" t="s">
        <v>53</v>
      </c>
      <c r="AT31" s="78" t="s">
        <v>98</v>
      </c>
    </row>
    <row r="32" spans="1:47">
      <c r="A32" s="75">
        <v>2</v>
      </c>
      <c r="B32" s="78" t="s">
        <v>148</v>
      </c>
      <c r="C32" s="81">
        <f>C9/C6</f>
        <v>314.25570085252076</v>
      </c>
      <c r="D32" s="81">
        <f t="shared" ref="D32:F32" si="40">D9/D6</f>
        <v>274.16193870801516</v>
      </c>
      <c r="E32" s="81" t="e">
        <f t="shared" si="40"/>
        <v>#DIV/0!</v>
      </c>
      <c r="F32" s="81" t="e">
        <f t="shared" si="40"/>
        <v>#DIV/0!</v>
      </c>
      <c r="G32" s="81" t="e">
        <f t="shared" ref="G32:R32" si="41">G9/G6</f>
        <v>#DIV/0!</v>
      </c>
      <c r="H32" s="81" t="e">
        <f t="shared" si="41"/>
        <v>#DIV/0!</v>
      </c>
      <c r="I32" s="81" t="e">
        <f t="shared" si="41"/>
        <v>#DIV/0!</v>
      </c>
      <c r="J32" s="81" t="e">
        <f t="shared" si="41"/>
        <v>#DIV/0!</v>
      </c>
      <c r="K32" s="81" t="e">
        <f t="shared" si="41"/>
        <v>#DIV/0!</v>
      </c>
      <c r="L32" s="81" t="e">
        <f t="shared" si="41"/>
        <v>#DIV/0!</v>
      </c>
      <c r="M32" s="81" t="e">
        <f t="shared" si="41"/>
        <v>#DIV/0!</v>
      </c>
      <c r="N32" s="81" t="e">
        <f t="shared" si="41"/>
        <v>#DIV/0!</v>
      </c>
      <c r="O32" s="81" t="e">
        <f t="shared" si="41"/>
        <v>#DIV/0!</v>
      </c>
      <c r="P32" s="81" t="e">
        <f t="shared" si="41"/>
        <v>#DIV/0!</v>
      </c>
      <c r="Q32" s="81" t="e">
        <f t="shared" si="41"/>
        <v>#DIV/0!</v>
      </c>
      <c r="R32" s="81" t="e">
        <f t="shared" si="41"/>
        <v>#DIV/0!</v>
      </c>
      <c r="S32" s="89"/>
      <c r="T32" s="2"/>
      <c r="U32" s="2"/>
      <c r="V32" s="2"/>
      <c r="W32" s="2"/>
      <c r="X32" s="2"/>
      <c r="Y32" s="2"/>
      <c r="Z32" s="2"/>
      <c r="AS32" s="78"/>
      <c r="AT32" s="78"/>
    </row>
    <row r="33" spans="1:46">
      <c r="A33" s="75">
        <v>3</v>
      </c>
      <c r="B33" s="86" t="s">
        <v>99</v>
      </c>
      <c r="C33" s="81">
        <f>材料成本!D25</f>
        <v>219.97899059676453</v>
      </c>
      <c r="D33" s="81">
        <f>材料成本!E25</f>
        <v>191.91335709561059</v>
      </c>
      <c r="E33" s="81">
        <f>材料成本!F25</f>
        <v>0</v>
      </c>
      <c r="F33" s="81">
        <f>材料成本!G25</f>
        <v>0</v>
      </c>
      <c r="G33" s="81">
        <f>材料成本!H25</f>
        <v>0</v>
      </c>
      <c r="H33" s="81">
        <f>材料成本!I25</f>
        <v>0</v>
      </c>
      <c r="I33" s="81">
        <f>材料成本!J25</f>
        <v>0</v>
      </c>
      <c r="J33" s="81">
        <f>材料成本!K25</f>
        <v>0</v>
      </c>
      <c r="K33" s="81">
        <f>材料成本!L25</f>
        <v>0</v>
      </c>
      <c r="L33" s="81">
        <f>材料成本!M25</f>
        <v>0</v>
      </c>
      <c r="M33" s="81">
        <f>材料成本!N25</f>
        <v>0</v>
      </c>
      <c r="N33" s="81">
        <f>材料成本!O25</f>
        <v>0</v>
      </c>
      <c r="O33" s="81">
        <f>材料成本!P25</f>
        <v>0</v>
      </c>
      <c r="P33" s="81">
        <f>材料成本!Q25</f>
        <v>0</v>
      </c>
      <c r="Q33" s="81">
        <f>材料成本!R25</f>
        <v>0</v>
      </c>
      <c r="R33" s="81">
        <f>材料成本!S25</f>
        <v>0</v>
      </c>
      <c r="S33" s="89"/>
      <c r="U33" s="2"/>
      <c r="V33" s="2"/>
      <c r="W33" s="2"/>
      <c r="X33" s="2"/>
      <c r="Y33" s="2"/>
      <c r="Z33" s="2"/>
      <c r="AS33" s="78" t="s">
        <v>55</v>
      </c>
      <c r="AT33" s="78" t="s">
        <v>99</v>
      </c>
    </row>
    <row r="34" spans="1:46" ht="17.25" customHeight="1">
      <c r="A34" s="75">
        <v>4</v>
      </c>
      <c r="B34" s="78" t="s">
        <v>101</v>
      </c>
      <c r="C34" s="94">
        <f>C32-C33</f>
        <v>94.276710255756228</v>
      </c>
      <c r="D34" s="94">
        <f t="shared" ref="D34:F34" si="42">D32-D33</f>
        <v>82.248581612404564</v>
      </c>
      <c r="E34" s="94" t="e">
        <f t="shared" si="42"/>
        <v>#DIV/0!</v>
      </c>
      <c r="F34" s="94" t="e">
        <f t="shared" si="42"/>
        <v>#DIV/0!</v>
      </c>
      <c r="G34" s="94" t="e">
        <f t="shared" ref="G34:R34" si="43">G32-G33</f>
        <v>#DIV/0!</v>
      </c>
      <c r="H34" s="94" t="e">
        <f t="shared" si="43"/>
        <v>#DIV/0!</v>
      </c>
      <c r="I34" s="94" t="e">
        <f t="shared" si="43"/>
        <v>#DIV/0!</v>
      </c>
      <c r="J34" s="94" t="e">
        <f t="shared" si="43"/>
        <v>#DIV/0!</v>
      </c>
      <c r="K34" s="94" t="e">
        <f t="shared" si="43"/>
        <v>#DIV/0!</v>
      </c>
      <c r="L34" s="94" t="e">
        <f t="shared" si="43"/>
        <v>#DIV/0!</v>
      </c>
      <c r="M34" s="94" t="e">
        <f t="shared" si="43"/>
        <v>#DIV/0!</v>
      </c>
      <c r="N34" s="94" t="e">
        <f t="shared" si="43"/>
        <v>#DIV/0!</v>
      </c>
      <c r="O34" s="94" t="e">
        <f t="shared" si="43"/>
        <v>#DIV/0!</v>
      </c>
      <c r="P34" s="94" t="e">
        <f t="shared" si="43"/>
        <v>#DIV/0!</v>
      </c>
      <c r="Q34" s="94" t="e">
        <f t="shared" si="43"/>
        <v>#DIV/0!</v>
      </c>
      <c r="R34" s="94" t="e">
        <f t="shared" si="43"/>
        <v>#DIV/0!</v>
      </c>
      <c r="S34" s="89"/>
      <c r="U34" s="2"/>
      <c r="V34" s="2"/>
      <c r="W34" s="2"/>
      <c r="X34" s="2"/>
      <c r="Y34" s="2"/>
      <c r="Z34" s="2"/>
      <c r="AS34" s="78" t="s">
        <v>100</v>
      </c>
      <c r="AT34" s="78" t="s">
        <v>101</v>
      </c>
    </row>
    <row r="35" spans="1:46">
      <c r="A35" s="78" t="s">
        <v>97</v>
      </c>
      <c r="B35" s="83" t="s">
        <v>9</v>
      </c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2"/>
      <c r="U35" s="2"/>
      <c r="V35" s="2"/>
      <c r="W35" s="2"/>
      <c r="X35" s="2"/>
      <c r="Y35" s="2"/>
      <c r="Z35" s="2"/>
      <c r="AA35" s="2"/>
      <c r="AB35" s="2"/>
      <c r="AC35" s="2"/>
      <c r="AS35" s="78" t="s">
        <v>103</v>
      </c>
      <c r="AT35" s="83" t="s">
        <v>9</v>
      </c>
    </row>
    <row r="36" spans="1:46">
      <c r="A36" s="75">
        <v>1</v>
      </c>
      <c r="B36" s="78" t="s">
        <v>104</v>
      </c>
      <c r="C36" s="87">
        <f>'2026年'!C36</f>
        <v>25.077604928031157</v>
      </c>
      <c r="D36" s="87">
        <f>'2026年'!D36</f>
        <v>21.878122708899607</v>
      </c>
      <c r="E36" s="87">
        <f>'2026年'!E36</f>
        <v>0</v>
      </c>
      <c r="F36" s="87">
        <f>'2026年'!F36</f>
        <v>0</v>
      </c>
      <c r="G36" s="87">
        <f>'2026年'!G36</f>
        <v>0</v>
      </c>
      <c r="H36" s="87">
        <f>'2026年'!H36</f>
        <v>0</v>
      </c>
      <c r="I36" s="87">
        <f>'2026年'!I36</f>
        <v>0</v>
      </c>
      <c r="J36" s="87">
        <f>'2026年'!J36</f>
        <v>0</v>
      </c>
      <c r="K36" s="87">
        <f>'2026年'!K36</f>
        <v>0</v>
      </c>
      <c r="L36" s="87">
        <f>'2026年'!L36</f>
        <v>0</v>
      </c>
      <c r="M36" s="87">
        <f>'2026年'!M36</f>
        <v>0</v>
      </c>
      <c r="N36" s="87">
        <f>'2026年'!N36</f>
        <v>0</v>
      </c>
      <c r="O36" s="87">
        <f>'2026年'!O36</f>
        <v>0</v>
      </c>
      <c r="P36" s="87">
        <f>'2026年'!P36</f>
        <v>0</v>
      </c>
      <c r="Q36" s="87">
        <f>'2026年'!Q36</f>
        <v>0</v>
      </c>
      <c r="R36" s="87">
        <f>'2026年'!R36</f>
        <v>0</v>
      </c>
      <c r="S36" s="93"/>
      <c r="T36" s="2"/>
      <c r="U36" s="2"/>
      <c r="V36" s="2"/>
      <c r="W36" s="2"/>
      <c r="X36" s="2"/>
      <c r="Y36" s="2"/>
      <c r="Z36" s="2"/>
      <c r="AA36" s="2"/>
      <c r="AB36" s="2"/>
      <c r="AC36" s="2"/>
      <c r="AS36" s="78" t="s">
        <v>100</v>
      </c>
      <c r="AT36" s="78" t="s">
        <v>104</v>
      </c>
    </row>
    <row r="37" spans="1:46">
      <c r="A37" s="75">
        <v>2</v>
      </c>
      <c r="B37" s="78" t="s">
        <v>105</v>
      </c>
      <c r="C37" s="87">
        <f>'2026年'!C37</f>
        <v>16.498424294757342</v>
      </c>
      <c r="D37" s="87">
        <f>'2026年'!D37</f>
        <v>14.393501782170796</v>
      </c>
      <c r="E37" s="87">
        <f>'2026年'!E37</f>
        <v>0</v>
      </c>
      <c r="F37" s="87">
        <f>'2026年'!F37</f>
        <v>0</v>
      </c>
      <c r="G37" s="87">
        <f>'2026年'!G37</f>
        <v>0</v>
      </c>
      <c r="H37" s="87">
        <f>'2026年'!H37</f>
        <v>0</v>
      </c>
      <c r="I37" s="87">
        <f>'2026年'!I37</f>
        <v>0</v>
      </c>
      <c r="J37" s="87">
        <f>'2026年'!J37</f>
        <v>0</v>
      </c>
      <c r="K37" s="87">
        <f>'2026年'!K37</f>
        <v>0</v>
      </c>
      <c r="L37" s="87">
        <f>'2026年'!L37</f>
        <v>0</v>
      </c>
      <c r="M37" s="87">
        <f>'2026年'!M37</f>
        <v>0</v>
      </c>
      <c r="N37" s="87">
        <f>'2026年'!N37</f>
        <v>0</v>
      </c>
      <c r="O37" s="87">
        <f>'2026年'!O37</f>
        <v>0</v>
      </c>
      <c r="P37" s="87">
        <f>'2026年'!P37</f>
        <v>0</v>
      </c>
      <c r="Q37" s="87">
        <f>'2026年'!Q37</f>
        <v>0</v>
      </c>
      <c r="R37" s="87">
        <f>'2026年'!R37</f>
        <v>0</v>
      </c>
      <c r="S37" s="93"/>
      <c r="T37" s="2"/>
      <c r="U37" s="2"/>
      <c r="V37" s="2"/>
      <c r="W37" s="2"/>
      <c r="X37" s="2"/>
      <c r="Y37" s="2"/>
      <c r="Z37" s="2"/>
      <c r="AA37" s="2"/>
      <c r="AB37" s="2"/>
      <c r="AC37" s="2"/>
      <c r="AS37" s="78" t="s">
        <v>58</v>
      </c>
      <c r="AT37" s="78" t="s">
        <v>105</v>
      </c>
    </row>
    <row r="38" spans="1:46">
      <c r="A38" s="75">
        <v>3</v>
      </c>
      <c r="B38" s="78" t="s">
        <v>106</v>
      </c>
      <c r="C38" s="87">
        <f>'2026年'!C38</f>
        <v>7.3535833999489846</v>
      </c>
      <c r="D38" s="87">
        <f>'2026年'!D38</f>
        <v>6.4153893657675543</v>
      </c>
      <c r="E38" s="87">
        <f>'2026年'!E38</f>
        <v>0</v>
      </c>
      <c r="F38" s="87">
        <f>'2026年'!F38</f>
        <v>0</v>
      </c>
      <c r="G38" s="87">
        <f>'2026年'!G38</f>
        <v>0</v>
      </c>
      <c r="H38" s="87">
        <f>'2026年'!H38</f>
        <v>0</v>
      </c>
      <c r="I38" s="87">
        <f>'2026年'!I38</f>
        <v>0</v>
      </c>
      <c r="J38" s="87">
        <f>'2026年'!J38</f>
        <v>0</v>
      </c>
      <c r="K38" s="87">
        <f>'2026年'!K38</f>
        <v>0</v>
      </c>
      <c r="L38" s="87">
        <f>'2026年'!L38</f>
        <v>0</v>
      </c>
      <c r="M38" s="87">
        <f>'2026年'!M38</f>
        <v>0</v>
      </c>
      <c r="N38" s="87">
        <f>'2026年'!N38</f>
        <v>0</v>
      </c>
      <c r="O38" s="87">
        <f>'2026年'!O38</f>
        <v>0</v>
      </c>
      <c r="P38" s="87">
        <f>'2026年'!P38</f>
        <v>0</v>
      </c>
      <c r="Q38" s="87">
        <f>'2026年'!Q38</f>
        <v>0</v>
      </c>
      <c r="R38" s="87">
        <f>'2026年'!R38</f>
        <v>0</v>
      </c>
      <c r="S38" s="93"/>
      <c r="T38" s="2"/>
      <c r="U38" s="2"/>
      <c r="V38" s="2"/>
      <c r="W38" s="2"/>
      <c r="X38" s="2"/>
      <c r="Y38" s="2"/>
      <c r="Z38" s="2"/>
      <c r="AA38" s="2"/>
      <c r="AB38" s="2"/>
      <c r="AC38" s="2"/>
      <c r="AS38" s="78" t="s">
        <v>64</v>
      </c>
      <c r="AT38" s="78" t="s">
        <v>106</v>
      </c>
    </row>
    <row r="39" spans="1:46">
      <c r="A39" s="78" t="s">
        <v>103</v>
      </c>
      <c r="B39" s="83" t="s">
        <v>108</v>
      </c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AS39" s="78" t="s">
        <v>107</v>
      </c>
      <c r="AT39" s="83" t="s">
        <v>108</v>
      </c>
    </row>
    <row r="40" spans="1:46">
      <c r="A40" s="75">
        <v>1</v>
      </c>
      <c r="B40" s="78" t="s">
        <v>109</v>
      </c>
      <c r="C40" s="89">
        <f>C34-C36-C37-C38</f>
        <v>45.347097633018748</v>
      </c>
      <c r="D40" s="89">
        <f>D34-D36-D37-D38</f>
        <v>39.561567755566607</v>
      </c>
      <c r="E40" s="89" t="e">
        <f t="shared" ref="E40:F40" si="44">E34-E36-E37-E38</f>
        <v>#DIV/0!</v>
      </c>
      <c r="F40" s="89" t="e">
        <f t="shared" si="44"/>
        <v>#DIV/0!</v>
      </c>
      <c r="G40" s="89" t="e">
        <f t="shared" ref="G40:R40" si="45">G34-G36-G37-G38</f>
        <v>#DIV/0!</v>
      </c>
      <c r="H40" s="89" t="e">
        <f t="shared" si="45"/>
        <v>#DIV/0!</v>
      </c>
      <c r="I40" s="89" t="e">
        <f t="shared" si="45"/>
        <v>#DIV/0!</v>
      </c>
      <c r="J40" s="89" t="e">
        <f t="shared" si="45"/>
        <v>#DIV/0!</v>
      </c>
      <c r="K40" s="89" t="e">
        <f t="shared" si="45"/>
        <v>#DIV/0!</v>
      </c>
      <c r="L40" s="89" t="e">
        <f t="shared" si="45"/>
        <v>#DIV/0!</v>
      </c>
      <c r="M40" s="89" t="e">
        <f t="shared" si="45"/>
        <v>#DIV/0!</v>
      </c>
      <c r="N40" s="89" t="e">
        <f t="shared" si="45"/>
        <v>#DIV/0!</v>
      </c>
      <c r="O40" s="89" t="e">
        <f t="shared" si="45"/>
        <v>#DIV/0!</v>
      </c>
      <c r="P40" s="89" t="e">
        <f t="shared" si="45"/>
        <v>#DIV/0!</v>
      </c>
      <c r="Q40" s="89" t="e">
        <f t="shared" si="45"/>
        <v>#DIV/0!</v>
      </c>
      <c r="R40" s="89" t="e">
        <f t="shared" si="45"/>
        <v>#DIV/0!</v>
      </c>
      <c r="S40" s="89"/>
      <c r="AS40" s="78" t="s">
        <v>53</v>
      </c>
      <c r="AT40" s="78" t="s">
        <v>109</v>
      </c>
    </row>
    <row r="41" spans="1:46">
      <c r="A41" s="75">
        <v>2</v>
      </c>
      <c r="B41" s="78" t="s">
        <v>110</v>
      </c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AS41" s="78" t="s">
        <v>55</v>
      </c>
      <c r="AT41" s="78" t="s">
        <v>110</v>
      </c>
    </row>
    <row r="42" spans="1:46">
      <c r="A42" s="78" t="s">
        <v>107</v>
      </c>
      <c r="B42" s="83" t="s">
        <v>112</v>
      </c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AS42" s="78" t="s">
        <v>111</v>
      </c>
      <c r="AT42" s="83" t="s">
        <v>112</v>
      </c>
    </row>
    <row r="43" spans="1:46">
      <c r="A43" s="75">
        <v>1</v>
      </c>
      <c r="B43" s="90" t="s">
        <v>113</v>
      </c>
      <c r="C43" s="87">
        <f>'2026年'!C43</f>
        <v>19.892385863964563</v>
      </c>
      <c r="D43" s="87">
        <f>'2026年'!D43</f>
        <v>17.354450720217358</v>
      </c>
      <c r="E43" s="87">
        <f>'2026年'!E43</f>
        <v>0</v>
      </c>
      <c r="F43" s="87">
        <f>'2026年'!F43</f>
        <v>0</v>
      </c>
      <c r="G43" s="87">
        <f>'2026年'!G43</f>
        <v>0</v>
      </c>
      <c r="H43" s="87">
        <f>'2026年'!H43</f>
        <v>0</v>
      </c>
      <c r="I43" s="87">
        <f>'2026年'!I43</f>
        <v>0</v>
      </c>
      <c r="J43" s="87">
        <f>'2026年'!J43</f>
        <v>0</v>
      </c>
      <c r="K43" s="87">
        <f>'2026年'!K43</f>
        <v>0</v>
      </c>
      <c r="L43" s="87">
        <f>'2026年'!L43</f>
        <v>0</v>
      </c>
      <c r="M43" s="87">
        <f>'2026年'!M43</f>
        <v>0</v>
      </c>
      <c r="N43" s="87">
        <f>'2026年'!N43</f>
        <v>0</v>
      </c>
      <c r="O43" s="87">
        <f>'2026年'!O43</f>
        <v>0</v>
      </c>
      <c r="P43" s="87">
        <f>'2026年'!P43</f>
        <v>0</v>
      </c>
      <c r="Q43" s="87">
        <f>'2026年'!Q43</f>
        <v>0</v>
      </c>
      <c r="R43" s="87">
        <f>'2026年'!R43</f>
        <v>0</v>
      </c>
      <c r="S43" s="89"/>
      <c r="AS43" s="78" t="s">
        <v>53</v>
      </c>
      <c r="AT43" s="78" t="s">
        <v>113</v>
      </c>
    </row>
    <row r="44" spans="1:46">
      <c r="A44" s="75">
        <v>2</v>
      </c>
      <c r="B44" s="90" t="s">
        <v>114</v>
      </c>
      <c r="C44" s="87">
        <f>'2026年'!C44</f>
        <v>0</v>
      </c>
      <c r="D44" s="87">
        <f>'2026年'!D44</f>
        <v>0</v>
      </c>
      <c r="E44" s="87">
        <f>'2026年'!E44</f>
        <v>0</v>
      </c>
      <c r="F44" s="87">
        <f>'2026年'!F44</f>
        <v>0</v>
      </c>
      <c r="G44" s="87">
        <f>'2026年'!G44</f>
        <v>0</v>
      </c>
      <c r="H44" s="87">
        <f>'2026年'!H44</f>
        <v>0</v>
      </c>
      <c r="I44" s="87">
        <f>'2026年'!I44</f>
        <v>0</v>
      </c>
      <c r="J44" s="87">
        <f>'2026年'!J44</f>
        <v>0</v>
      </c>
      <c r="K44" s="87">
        <f>'2026年'!K44</f>
        <v>0</v>
      </c>
      <c r="L44" s="87">
        <f>'2026年'!L44</f>
        <v>0</v>
      </c>
      <c r="M44" s="87">
        <f>'2026年'!M44</f>
        <v>0</v>
      </c>
      <c r="N44" s="87">
        <f>'2026年'!N44</f>
        <v>0</v>
      </c>
      <c r="O44" s="87">
        <f>'2026年'!O44</f>
        <v>0</v>
      </c>
      <c r="P44" s="87">
        <f>'2026年'!P44</f>
        <v>0</v>
      </c>
      <c r="Q44" s="87">
        <f>'2026年'!Q44</f>
        <v>0</v>
      </c>
      <c r="R44" s="87">
        <f>'2026年'!R44</f>
        <v>0</v>
      </c>
      <c r="S44" s="89"/>
      <c r="AS44" s="78" t="s">
        <v>55</v>
      </c>
      <c r="AT44" s="78" t="s">
        <v>114</v>
      </c>
    </row>
    <row r="45" spans="1:46">
      <c r="A45" s="75">
        <v>3</v>
      </c>
      <c r="B45" s="90" t="s">
        <v>115</v>
      </c>
      <c r="C45" s="87">
        <f>'2026年'!C45</f>
        <v>1.5398529341773517</v>
      </c>
      <c r="D45" s="87">
        <f>'2026年'!D45</f>
        <v>1.3433934996692742</v>
      </c>
      <c r="E45" s="87">
        <f>'2026年'!E45</f>
        <v>0</v>
      </c>
      <c r="F45" s="87">
        <f>'2026年'!F45</f>
        <v>0</v>
      </c>
      <c r="G45" s="87">
        <f>'2026年'!G45</f>
        <v>0</v>
      </c>
      <c r="H45" s="87">
        <f>'2026年'!H45</f>
        <v>0</v>
      </c>
      <c r="I45" s="87">
        <f>'2026年'!I45</f>
        <v>0</v>
      </c>
      <c r="J45" s="87">
        <f>'2026年'!J45</f>
        <v>0</v>
      </c>
      <c r="K45" s="87">
        <f>'2026年'!K45</f>
        <v>0</v>
      </c>
      <c r="L45" s="87">
        <f>'2026年'!L45</f>
        <v>0</v>
      </c>
      <c r="M45" s="87">
        <f>'2026年'!M45</f>
        <v>0</v>
      </c>
      <c r="N45" s="87">
        <f>'2026年'!N45</f>
        <v>0</v>
      </c>
      <c r="O45" s="87">
        <f>'2026年'!O45</f>
        <v>0</v>
      </c>
      <c r="P45" s="87">
        <f>'2026年'!P45</f>
        <v>0</v>
      </c>
      <c r="Q45" s="87">
        <f>'2026年'!Q45</f>
        <v>0</v>
      </c>
      <c r="R45" s="87">
        <f>'2026年'!R45</f>
        <v>0</v>
      </c>
      <c r="S45" s="89"/>
      <c r="AS45" s="78" t="s">
        <v>100</v>
      </c>
      <c r="AT45" s="78" t="s">
        <v>115</v>
      </c>
    </row>
    <row r="46" spans="1:46" s="73" customFormat="1">
      <c r="A46" s="75">
        <v>4</v>
      </c>
      <c r="B46" s="90" t="s">
        <v>116</v>
      </c>
      <c r="C46" s="95">
        <f>C21/C6</f>
        <v>0.5</v>
      </c>
      <c r="D46" s="95">
        <f>D21/D6</f>
        <v>0.5</v>
      </c>
      <c r="E46" s="95" t="e">
        <f t="shared" ref="E46:F46" si="46">E21/E6</f>
        <v>#DIV/0!</v>
      </c>
      <c r="F46" s="95" t="e">
        <f t="shared" si="46"/>
        <v>#DIV/0!</v>
      </c>
      <c r="G46" s="95" t="e">
        <f t="shared" ref="G46:R46" si="47">G21/G6</f>
        <v>#DIV/0!</v>
      </c>
      <c r="H46" s="95" t="e">
        <f t="shared" si="47"/>
        <v>#DIV/0!</v>
      </c>
      <c r="I46" s="95" t="e">
        <f t="shared" si="47"/>
        <v>#DIV/0!</v>
      </c>
      <c r="J46" s="95" t="e">
        <f t="shared" si="47"/>
        <v>#DIV/0!</v>
      </c>
      <c r="K46" s="95" t="e">
        <f t="shared" si="47"/>
        <v>#DIV/0!</v>
      </c>
      <c r="L46" s="95" t="e">
        <f t="shared" si="47"/>
        <v>#DIV/0!</v>
      </c>
      <c r="M46" s="95" t="e">
        <f t="shared" si="47"/>
        <v>#DIV/0!</v>
      </c>
      <c r="N46" s="95" t="e">
        <f t="shared" si="47"/>
        <v>#DIV/0!</v>
      </c>
      <c r="O46" s="95" t="e">
        <f t="shared" si="47"/>
        <v>#DIV/0!</v>
      </c>
      <c r="P46" s="95" t="e">
        <f t="shared" si="47"/>
        <v>#DIV/0!</v>
      </c>
      <c r="Q46" s="95" t="e">
        <f t="shared" si="47"/>
        <v>#DIV/0!</v>
      </c>
      <c r="R46" s="95" t="e">
        <f t="shared" si="47"/>
        <v>#DIV/0!</v>
      </c>
      <c r="S46" s="95"/>
      <c r="AS46" s="90" t="s">
        <v>60</v>
      </c>
      <c r="AT46" s="90" t="s">
        <v>118</v>
      </c>
    </row>
    <row r="47" spans="1:46" s="73" customFormat="1">
      <c r="A47" s="75">
        <v>5</v>
      </c>
      <c r="B47" s="90" t="s">
        <v>118</v>
      </c>
      <c r="C47" s="87">
        <f>'2026年'!C47</f>
        <v>11.690312071713771</v>
      </c>
      <c r="D47" s="87">
        <f>'2026年'!D47</f>
        <v>10.198824119938163</v>
      </c>
      <c r="E47" s="87">
        <f>'2026年'!E47</f>
        <v>0</v>
      </c>
      <c r="F47" s="87">
        <f>'2026年'!F47</f>
        <v>0</v>
      </c>
      <c r="G47" s="87">
        <f>'2026年'!G47</f>
        <v>0</v>
      </c>
      <c r="H47" s="87">
        <f>'2026年'!H47</f>
        <v>0</v>
      </c>
      <c r="I47" s="87">
        <f>'2026年'!I47</f>
        <v>0</v>
      </c>
      <c r="J47" s="87">
        <f>'2026年'!J47</f>
        <v>0</v>
      </c>
      <c r="K47" s="87">
        <f>'2026年'!K47</f>
        <v>0</v>
      </c>
      <c r="L47" s="87">
        <f>'2026年'!L47</f>
        <v>0</v>
      </c>
      <c r="M47" s="87">
        <f>'2026年'!M47</f>
        <v>0</v>
      </c>
      <c r="N47" s="87">
        <f>'2026年'!N47</f>
        <v>0</v>
      </c>
      <c r="O47" s="87">
        <f>'2026年'!O47</f>
        <v>0</v>
      </c>
      <c r="P47" s="87">
        <f>'2026年'!P47</f>
        <v>0</v>
      </c>
      <c r="Q47" s="87">
        <f>'2026年'!Q47</f>
        <v>0</v>
      </c>
      <c r="R47" s="87">
        <f>'2026年'!R47</f>
        <v>0</v>
      </c>
      <c r="S47" s="95"/>
      <c r="AS47" s="90" t="s">
        <v>60</v>
      </c>
      <c r="AT47" s="90" t="s">
        <v>118</v>
      </c>
    </row>
    <row r="48" spans="1:46">
      <c r="A48" s="78" t="s">
        <v>111</v>
      </c>
      <c r="B48" s="83" t="s">
        <v>129</v>
      </c>
      <c r="C48" s="89">
        <f>C40-C43-C44-C45-C47-C46</f>
        <v>11.724546763163064</v>
      </c>
      <c r="D48" s="89">
        <f>D40-D43-D44-D45-D47-D46</f>
        <v>10.164899415741811</v>
      </c>
      <c r="E48" s="89" t="e">
        <f t="shared" ref="E48:F48" si="48">E40-E43-E44-E45-E47-E46</f>
        <v>#DIV/0!</v>
      </c>
      <c r="F48" s="89" t="e">
        <f t="shared" si="48"/>
        <v>#DIV/0!</v>
      </c>
      <c r="G48" s="89" t="e">
        <f t="shared" ref="G48:R48" si="49">G40-G43-G44-G45-G47-G46</f>
        <v>#DIV/0!</v>
      </c>
      <c r="H48" s="89" t="e">
        <f t="shared" si="49"/>
        <v>#DIV/0!</v>
      </c>
      <c r="I48" s="89" t="e">
        <f t="shared" si="49"/>
        <v>#DIV/0!</v>
      </c>
      <c r="J48" s="89" t="e">
        <f t="shared" si="49"/>
        <v>#DIV/0!</v>
      </c>
      <c r="K48" s="89" t="e">
        <f t="shared" si="49"/>
        <v>#DIV/0!</v>
      </c>
      <c r="L48" s="89" t="e">
        <f t="shared" si="49"/>
        <v>#DIV/0!</v>
      </c>
      <c r="M48" s="89" t="e">
        <f t="shared" si="49"/>
        <v>#DIV/0!</v>
      </c>
      <c r="N48" s="89" t="e">
        <f t="shared" si="49"/>
        <v>#DIV/0!</v>
      </c>
      <c r="O48" s="89" t="e">
        <f t="shared" si="49"/>
        <v>#DIV/0!</v>
      </c>
      <c r="P48" s="89" t="e">
        <f t="shared" si="49"/>
        <v>#DIV/0!</v>
      </c>
      <c r="Q48" s="89" t="e">
        <f t="shared" si="49"/>
        <v>#DIV/0!</v>
      </c>
      <c r="R48" s="89" t="e">
        <f t="shared" si="49"/>
        <v>#DIV/0!</v>
      </c>
      <c r="S48" s="89"/>
      <c r="AS48" s="78" t="s">
        <v>128</v>
      </c>
      <c r="AT48" s="83" t="s">
        <v>129</v>
      </c>
    </row>
    <row r="51" spans="2:24"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</row>
    <row r="54" spans="2:24">
      <c r="B54" s="2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2"/>
      <c r="U54" s="2"/>
      <c r="V54" s="2"/>
      <c r="W54" s="2"/>
      <c r="X54" s="2"/>
    </row>
    <row r="55" spans="2:24">
      <c r="B55" s="2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2"/>
      <c r="U55" s="2"/>
      <c r="V55" s="2"/>
      <c r="W55" s="2"/>
      <c r="X55" s="2"/>
    </row>
    <row r="56" spans="2:24">
      <c r="B56" s="2"/>
      <c r="C56" s="97"/>
      <c r="D56" s="97"/>
      <c r="E56" s="97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2"/>
      <c r="U56" s="2"/>
      <c r="V56" s="2"/>
      <c r="W56" s="2"/>
      <c r="X56" s="2"/>
    </row>
    <row r="57" spans="2:24">
      <c r="B57" s="2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2"/>
      <c r="U57" s="2"/>
      <c r="V57" s="2"/>
      <c r="W57" s="2"/>
      <c r="X57" s="2"/>
    </row>
    <row r="58" spans="2:24">
      <c r="B58" s="2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2"/>
      <c r="U58" s="2"/>
      <c r="V58" s="2"/>
      <c r="W58" s="2"/>
      <c r="X58" s="2"/>
    </row>
    <row r="59" spans="2:24">
      <c r="B59" s="2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2"/>
      <c r="U59" s="2"/>
      <c r="V59" s="2"/>
      <c r="W59" s="2"/>
      <c r="X59" s="2"/>
    </row>
    <row r="60" spans="2:24">
      <c r="B60" s="2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2"/>
      <c r="U60" s="2"/>
      <c r="V60" s="2"/>
      <c r="W60" s="2"/>
      <c r="X60" s="2"/>
    </row>
    <row r="61" spans="2:24">
      <c r="B61" s="2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2"/>
      <c r="U61" s="2"/>
      <c r="V61" s="2"/>
      <c r="W61" s="2"/>
      <c r="X61" s="2"/>
    </row>
    <row r="62" spans="2:24">
      <c r="B62" s="2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2"/>
      <c r="U62" s="2"/>
      <c r="V62" s="2"/>
      <c r="W62" s="2"/>
      <c r="X62" s="2"/>
    </row>
    <row r="63" spans="2:24">
      <c r="B63" s="2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2"/>
      <c r="U63" s="2"/>
      <c r="V63" s="2"/>
      <c r="W63" s="2"/>
      <c r="X63" s="2"/>
    </row>
    <row r="64" spans="2:24">
      <c r="B64" s="2"/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2"/>
      <c r="U64" s="2"/>
      <c r="V64" s="2"/>
      <c r="W64" s="2"/>
      <c r="X64" s="2"/>
    </row>
    <row r="65" spans="2:24">
      <c r="B65" s="2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2"/>
      <c r="U65" s="2"/>
      <c r="V65" s="2"/>
      <c r="W65" s="2"/>
      <c r="X65" s="2"/>
    </row>
    <row r="66" spans="2:24">
      <c r="B66" s="2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2"/>
      <c r="U66" s="2"/>
      <c r="V66" s="2"/>
      <c r="W66" s="2"/>
      <c r="X66" s="2"/>
    </row>
    <row r="67" spans="2:24">
      <c r="B67" s="2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2"/>
    </row>
    <row r="68" spans="2:24">
      <c r="B68" s="2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2"/>
    </row>
    <row r="69" spans="2:24">
      <c r="B69" s="2"/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2"/>
    </row>
    <row r="70" spans="2:24">
      <c r="B70" s="2"/>
      <c r="C70" s="97"/>
      <c r="D70" s="97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2"/>
    </row>
    <row r="71" spans="2:24">
      <c r="B71" s="2"/>
      <c r="C71" s="97"/>
      <c r="D71" s="97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2"/>
    </row>
    <row r="72" spans="2:24">
      <c r="B72" s="2"/>
      <c r="C72" s="97"/>
      <c r="D72" s="97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2"/>
    </row>
    <row r="73" spans="2:24">
      <c r="B73" s="2"/>
      <c r="C73" s="97"/>
      <c r="D73" s="97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2"/>
    </row>
    <row r="74" spans="2:24">
      <c r="B74" s="2"/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2"/>
    </row>
  </sheetData>
  <mergeCells count="8">
    <mergeCell ref="A4:B4"/>
    <mergeCell ref="A5:B5"/>
    <mergeCell ref="S3:S5"/>
    <mergeCell ref="A1:B1"/>
    <mergeCell ref="C1:S1"/>
    <mergeCell ref="A2:B2"/>
    <mergeCell ref="C2:S2"/>
    <mergeCell ref="A3:B3"/>
  </mergeCells>
  <phoneticPr fontId="45" type="noConversion"/>
  <printOptions horizontalCentered="1"/>
  <pageMargins left="0.39370078740157499" right="0.31496062992126" top="0.35433070866141703" bottom="0.15748031496063" header="0.31496062992126" footer="0.31496062992126"/>
  <pageSetup paperSize="9" orientation="landscape"/>
  <rowBreaks count="1" manualBreakCount="1">
    <brk id="28" max="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74"/>
  <sheetViews>
    <sheetView zoomScale="85" zoomScaleNormal="85" workbookViewId="0">
      <pane xSplit="2" ySplit="7" topLeftCell="C8" activePane="bottomRight" state="frozen"/>
      <selection pane="topRight"/>
      <selection pane="bottomLeft"/>
      <selection pane="bottomRight" activeCell="C2" sqref="C2:S2"/>
    </sheetView>
  </sheetViews>
  <sheetFormatPr defaultColWidth="9" defaultRowHeight="16.5"/>
  <cols>
    <col min="1" max="1" width="5.125" style="71" customWidth="1"/>
    <col min="2" max="2" width="17.5" style="71" customWidth="1"/>
    <col min="3" max="3" width="15.375" style="74" customWidth="1"/>
    <col min="4" max="18" width="14.375" style="74" customWidth="1"/>
    <col min="19" max="19" width="18.75" style="74" customWidth="1"/>
    <col min="20" max="20" width="12.375" style="71" customWidth="1"/>
    <col min="21" max="21" width="10.125" style="71" customWidth="1"/>
    <col min="22" max="28" width="9" style="71" customWidth="1"/>
    <col min="29" max="44" width="9" style="71"/>
    <col min="45" max="45" width="4.375" style="71" customWidth="1"/>
    <col min="46" max="46" width="13.875" style="71" customWidth="1"/>
    <col min="47" max="16384" width="9" style="71"/>
  </cols>
  <sheetData>
    <row r="1" spans="1:47">
      <c r="A1" s="241" t="s">
        <v>139</v>
      </c>
      <c r="B1" s="241"/>
      <c r="C1" s="245" t="s">
        <v>256</v>
      </c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7"/>
    </row>
    <row r="2" spans="1:47">
      <c r="A2" s="241" t="s">
        <v>140</v>
      </c>
      <c r="B2" s="241"/>
      <c r="C2" s="248" t="str">
        <f>'2026年'!$C$2</f>
        <v>光华海外工厂——戴姆勒卡车集团DTAG</v>
      </c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</row>
    <row r="3" spans="1:47" ht="22.5">
      <c r="A3" s="241" t="s">
        <v>141</v>
      </c>
      <c r="B3" s="241"/>
      <c r="C3" s="76" t="str">
        <f>'2026年'!C3</f>
        <v>3.0海外出口配件靠背骨架-电动</v>
      </c>
      <c r="D3" s="76" t="str">
        <f>'2026年'!D3</f>
        <v>3.0海外出口配件靠背骨架-手动</v>
      </c>
      <c r="E3" s="76">
        <f>'2026年'!E3</f>
        <v>0</v>
      </c>
      <c r="F3" s="76">
        <f>'2026年'!F3</f>
        <v>0</v>
      </c>
      <c r="G3" s="76">
        <f>'2026年'!G3</f>
        <v>0</v>
      </c>
      <c r="H3" s="76">
        <f>'2026年'!H3</f>
        <v>0</v>
      </c>
      <c r="I3" s="76">
        <f>'2026年'!I3</f>
        <v>0</v>
      </c>
      <c r="J3" s="76">
        <f>'2026年'!J3</f>
        <v>0</v>
      </c>
      <c r="K3" s="76">
        <f>'2026年'!K3</f>
        <v>0</v>
      </c>
      <c r="L3" s="76">
        <f>'2026年'!L3</f>
        <v>0</v>
      </c>
      <c r="M3" s="76">
        <f>'2026年'!M3</f>
        <v>0</v>
      </c>
      <c r="N3" s="76">
        <f>'2026年'!N3</f>
        <v>0</v>
      </c>
      <c r="O3" s="76">
        <f>'2026年'!O3</f>
        <v>0</v>
      </c>
      <c r="P3" s="76">
        <f>'2026年'!P3</f>
        <v>0</v>
      </c>
      <c r="Q3" s="76">
        <f>'2026年'!Q3</f>
        <v>0</v>
      </c>
      <c r="R3" s="76">
        <f>'2026年'!R3</f>
        <v>0</v>
      </c>
      <c r="S3" s="242" t="s">
        <v>49</v>
      </c>
    </row>
    <row r="4" spans="1:47">
      <c r="A4" s="241" t="s">
        <v>142</v>
      </c>
      <c r="B4" s="241"/>
      <c r="C4" s="76" t="str">
        <f>'2026年'!C4</f>
        <v>/</v>
      </c>
      <c r="D4" s="76" t="str">
        <f>'2026年'!D4</f>
        <v>/</v>
      </c>
      <c r="E4" s="76">
        <f>'2026年'!E4</f>
        <v>0</v>
      </c>
      <c r="F4" s="76">
        <f>'2026年'!F4</f>
        <v>0</v>
      </c>
      <c r="G4" s="76">
        <f>'2026年'!G4</f>
        <v>0</v>
      </c>
      <c r="H4" s="76">
        <f>'2026年'!H4</f>
        <v>0</v>
      </c>
      <c r="I4" s="76">
        <f>'2026年'!I4</f>
        <v>0</v>
      </c>
      <c r="J4" s="76">
        <f>'2026年'!J4</f>
        <v>0</v>
      </c>
      <c r="K4" s="76">
        <f>'2026年'!K4</f>
        <v>0</v>
      </c>
      <c r="L4" s="76">
        <f>'2026年'!L4</f>
        <v>0</v>
      </c>
      <c r="M4" s="76">
        <f>'2026年'!M4</f>
        <v>0</v>
      </c>
      <c r="N4" s="76">
        <f>'2026年'!N4</f>
        <v>0</v>
      </c>
      <c r="O4" s="76">
        <f>'2026年'!O4</f>
        <v>0</v>
      </c>
      <c r="P4" s="76">
        <f>'2026年'!P4</f>
        <v>0</v>
      </c>
      <c r="Q4" s="76">
        <f>'2026年'!Q4</f>
        <v>0</v>
      </c>
      <c r="R4" s="76">
        <f>'2026年'!R4</f>
        <v>0</v>
      </c>
      <c r="S4" s="243"/>
    </row>
    <row r="5" spans="1:47" ht="28.5">
      <c r="A5" s="241" t="s">
        <v>143</v>
      </c>
      <c r="B5" s="241"/>
      <c r="C5" s="77" t="str">
        <f>'2026年'!C5</f>
        <v>肩部折叠</v>
      </c>
      <c r="D5" s="77" t="str">
        <f>'2026年'!D5</f>
        <v>肩部折叠</v>
      </c>
      <c r="E5" s="77" t="str">
        <f>'2026年'!E5</f>
        <v>根据成本价格进行加价确认</v>
      </c>
      <c r="F5" s="77">
        <f>'2026年'!F5</f>
        <v>0</v>
      </c>
      <c r="G5" s="77">
        <f>'2026年'!G5</f>
        <v>0</v>
      </c>
      <c r="H5" s="77">
        <f>'2026年'!H5</f>
        <v>0</v>
      </c>
      <c r="I5" s="77">
        <f>'2026年'!I5</f>
        <v>0</v>
      </c>
      <c r="J5" s="77">
        <f>'2026年'!J5</f>
        <v>0</v>
      </c>
      <c r="K5" s="77">
        <f>'2026年'!K5</f>
        <v>0</v>
      </c>
      <c r="L5" s="77">
        <f>'2026年'!L5</f>
        <v>0</v>
      </c>
      <c r="M5" s="77">
        <f>'2026年'!M5</f>
        <v>0</v>
      </c>
      <c r="N5" s="77">
        <f>'2026年'!N5</f>
        <v>0</v>
      </c>
      <c r="O5" s="77">
        <f>'2026年'!O5</f>
        <v>0</v>
      </c>
      <c r="P5" s="77">
        <f>'2026年'!P5</f>
        <v>0</v>
      </c>
      <c r="Q5" s="77">
        <f>'2026年'!Q5</f>
        <v>0</v>
      </c>
      <c r="R5" s="77">
        <f>'2026年'!R5</f>
        <v>0</v>
      </c>
      <c r="S5" s="244"/>
      <c r="AU5" s="71" t="s">
        <v>50</v>
      </c>
    </row>
    <row r="6" spans="1:47">
      <c r="A6" s="78" t="s">
        <v>18</v>
      </c>
      <c r="B6" s="79" t="s">
        <v>144</v>
      </c>
      <c r="C6" s="80">
        <f>销量!C11</f>
        <v>20000</v>
      </c>
      <c r="D6" s="80">
        <f>销量!D11</f>
        <v>20000</v>
      </c>
      <c r="E6" s="80">
        <f>销量!E11</f>
        <v>0</v>
      </c>
      <c r="F6" s="80">
        <f>销量!F11</f>
        <v>0</v>
      </c>
      <c r="G6" s="80">
        <f>销量!G11</f>
        <v>0</v>
      </c>
      <c r="H6" s="80">
        <f>销量!H11</f>
        <v>0</v>
      </c>
      <c r="I6" s="80">
        <f>销量!I11</f>
        <v>0</v>
      </c>
      <c r="J6" s="80">
        <f>销量!J11</f>
        <v>0</v>
      </c>
      <c r="K6" s="80">
        <f>销量!K11</f>
        <v>0</v>
      </c>
      <c r="L6" s="80">
        <f>销量!L11</f>
        <v>0</v>
      </c>
      <c r="M6" s="80">
        <f>销量!M11</f>
        <v>0</v>
      </c>
      <c r="N6" s="80">
        <f>销量!N11</f>
        <v>0</v>
      </c>
      <c r="O6" s="80">
        <f>销量!O11</f>
        <v>0</v>
      </c>
      <c r="P6" s="80">
        <f>销量!P11</f>
        <v>0</v>
      </c>
      <c r="Q6" s="80">
        <f>销量!Q11</f>
        <v>0</v>
      </c>
      <c r="R6" s="80">
        <f>销量!R11</f>
        <v>0</v>
      </c>
      <c r="S6" s="81">
        <f>+SUM(C6:R6)</f>
        <v>40000</v>
      </c>
      <c r="AS6" s="78" t="s">
        <v>18</v>
      </c>
      <c r="AT6" s="79" t="s">
        <v>3</v>
      </c>
      <c r="AU6" s="71" t="s">
        <v>51</v>
      </c>
    </row>
    <row r="7" spans="1:47">
      <c r="A7" s="75">
        <v>1</v>
      </c>
      <c r="B7" s="79" t="s">
        <v>52</v>
      </c>
      <c r="C7" s="81">
        <f>C6*销量!C8</f>
        <v>6285114.0170504153</v>
      </c>
      <c r="D7" s="81">
        <f>D6*销量!D8</f>
        <v>5483238.7741603032</v>
      </c>
      <c r="E7" s="81">
        <f>E6*销量!E8</f>
        <v>0</v>
      </c>
      <c r="F7" s="81">
        <f>F6*销量!F8</f>
        <v>0</v>
      </c>
      <c r="G7" s="81">
        <f>G6*销量!G8</f>
        <v>0</v>
      </c>
      <c r="H7" s="81">
        <f>H6*销量!H8</f>
        <v>0</v>
      </c>
      <c r="I7" s="81">
        <f>I6*销量!I8</f>
        <v>0</v>
      </c>
      <c r="J7" s="81">
        <f>J6*销量!J8</f>
        <v>0</v>
      </c>
      <c r="K7" s="81">
        <f>K6*销量!K8</f>
        <v>0</v>
      </c>
      <c r="L7" s="81">
        <f>L6*销量!L8</f>
        <v>0</v>
      </c>
      <c r="M7" s="81">
        <f>M6*销量!M8</f>
        <v>0</v>
      </c>
      <c r="N7" s="81">
        <f>N6*销量!N8</f>
        <v>0</v>
      </c>
      <c r="O7" s="81">
        <f>O6*销量!O8</f>
        <v>0</v>
      </c>
      <c r="P7" s="81">
        <f>P6*销量!P8</f>
        <v>0</v>
      </c>
      <c r="Q7" s="81">
        <f>Q6*销量!Q8</f>
        <v>0</v>
      </c>
      <c r="R7" s="81">
        <f>R6*销量!R8</f>
        <v>0</v>
      </c>
      <c r="S7" s="81">
        <f t="shared" ref="S7:S13" si="0">+SUM(C7:R7)</f>
        <v>11768352.791210718</v>
      </c>
      <c r="T7" s="74"/>
      <c r="AS7" s="78" t="s">
        <v>53</v>
      </c>
      <c r="AT7" s="79" t="s">
        <v>52</v>
      </c>
      <c r="AU7" s="71" t="s">
        <v>51</v>
      </c>
    </row>
    <row r="8" spans="1:47">
      <c r="A8" s="75">
        <v>2</v>
      </c>
      <c r="B8" s="75" t="s">
        <v>54</v>
      </c>
      <c r="C8" s="81">
        <f>C7*(1-销量!$V$8)</f>
        <v>0</v>
      </c>
      <c r="D8" s="81">
        <f>D7*(1-销量!$V$8)</f>
        <v>0</v>
      </c>
      <c r="E8" s="81">
        <f>E7*(1-销量!$V$8)</f>
        <v>0</v>
      </c>
      <c r="F8" s="81">
        <f>F7*(1-销量!$V$8)</f>
        <v>0</v>
      </c>
      <c r="G8" s="81">
        <f>G7*(1-销量!$V$8)</f>
        <v>0</v>
      </c>
      <c r="H8" s="81">
        <f>H7*(1-销量!$V$8)</f>
        <v>0</v>
      </c>
      <c r="I8" s="81">
        <f>I7*(1-销量!$V$8)</f>
        <v>0</v>
      </c>
      <c r="J8" s="81">
        <f>J7*(1-销量!$V$8)</f>
        <v>0</v>
      </c>
      <c r="K8" s="81">
        <f>K7*(1-销量!$V$8)</f>
        <v>0</v>
      </c>
      <c r="L8" s="81">
        <f>L7*(1-销量!$V$8)</f>
        <v>0</v>
      </c>
      <c r="M8" s="81">
        <f>M7*(1-销量!$V$8)</f>
        <v>0</v>
      </c>
      <c r="N8" s="81">
        <f>N7*(1-销量!$V$8)</f>
        <v>0</v>
      </c>
      <c r="O8" s="81">
        <f>O7*(1-销量!$V$8)</f>
        <v>0</v>
      </c>
      <c r="P8" s="81">
        <f>P7*(1-销量!$V$8)</f>
        <v>0</v>
      </c>
      <c r="Q8" s="81">
        <f>Q7*(1-销量!$V$8)</f>
        <v>0</v>
      </c>
      <c r="R8" s="81">
        <f>R7*(1-销量!$V$8)</f>
        <v>0</v>
      </c>
      <c r="S8" s="81">
        <f t="shared" si="0"/>
        <v>0</v>
      </c>
      <c r="T8" s="82"/>
      <c r="AS8" s="78" t="s">
        <v>55</v>
      </c>
      <c r="AT8" s="75" t="s">
        <v>56</v>
      </c>
      <c r="AU8" s="71" t="s">
        <v>51</v>
      </c>
    </row>
    <row r="9" spans="1:47">
      <c r="A9" s="75">
        <v>3</v>
      </c>
      <c r="B9" s="79" t="s">
        <v>57</v>
      </c>
      <c r="C9" s="81">
        <f>+C7-C8</f>
        <v>6285114.0170504153</v>
      </c>
      <c r="D9" s="81">
        <f>+D7-D8</f>
        <v>5483238.7741603032</v>
      </c>
      <c r="E9" s="81">
        <f t="shared" ref="E9:F9" si="1">+E7-E8</f>
        <v>0</v>
      </c>
      <c r="F9" s="81">
        <f t="shared" si="1"/>
        <v>0</v>
      </c>
      <c r="G9" s="81">
        <f t="shared" ref="G9:R9" si="2">+G7-G8</f>
        <v>0</v>
      </c>
      <c r="H9" s="81">
        <f t="shared" si="2"/>
        <v>0</v>
      </c>
      <c r="I9" s="81">
        <f t="shared" si="2"/>
        <v>0</v>
      </c>
      <c r="J9" s="81">
        <f t="shared" si="2"/>
        <v>0</v>
      </c>
      <c r="K9" s="81">
        <f t="shared" si="2"/>
        <v>0</v>
      </c>
      <c r="L9" s="81">
        <f t="shared" si="2"/>
        <v>0</v>
      </c>
      <c r="M9" s="81">
        <f t="shared" si="2"/>
        <v>0</v>
      </c>
      <c r="N9" s="81">
        <f t="shared" si="2"/>
        <v>0</v>
      </c>
      <c r="O9" s="81">
        <f t="shared" si="2"/>
        <v>0</v>
      </c>
      <c r="P9" s="81">
        <f t="shared" si="2"/>
        <v>0</v>
      </c>
      <c r="Q9" s="81">
        <f t="shared" si="2"/>
        <v>0</v>
      </c>
      <c r="R9" s="81">
        <f t="shared" si="2"/>
        <v>0</v>
      </c>
      <c r="S9" s="81">
        <f t="shared" si="0"/>
        <v>11768352.791210718</v>
      </c>
      <c r="AS9" s="78" t="s">
        <v>58</v>
      </c>
      <c r="AT9" s="79" t="s">
        <v>57</v>
      </c>
      <c r="AU9" s="71" t="s">
        <v>59</v>
      </c>
    </row>
    <row r="10" spans="1:47">
      <c r="A10" s="75">
        <v>4</v>
      </c>
      <c r="B10" s="78" t="s">
        <v>61</v>
      </c>
      <c r="C10" s="81">
        <f>C6*C33</f>
        <v>4399579.8119352907</v>
      </c>
      <c r="D10" s="81">
        <f>D6*D33</f>
        <v>3838267.1419122117</v>
      </c>
      <c r="E10" s="81">
        <f t="shared" ref="E10:F10" si="3">E6*E33</f>
        <v>0</v>
      </c>
      <c r="F10" s="81">
        <f t="shared" si="3"/>
        <v>0</v>
      </c>
      <c r="G10" s="81">
        <f t="shared" ref="G10:R10" si="4">G6*G33</f>
        <v>0</v>
      </c>
      <c r="H10" s="81">
        <f t="shared" si="4"/>
        <v>0</v>
      </c>
      <c r="I10" s="81">
        <f t="shared" si="4"/>
        <v>0</v>
      </c>
      <c r="J10" s="81">
        <f t="shared" si="4"/>
        <v>0</v>
      </c>
      <c r="K10" s="81">
        <f t="shared" si="4"/>
        <v>0</v>
      </c>
      <c r="L10" s="81">
        <f t="shared" si="4"/>
        <v>0</v>
      </c>
      <c r="M10" s="81">
        <f t="shared" si="4"/>
        <v>0</v>
      </c>
      <c r="N10" s="81">
        <f t="shared" si="4"/>
        <v>0</v>
      </c>
      <c r="O10" s="81">
        <f t="shared" si="4"/>
        <v>0</v>
      </c>
      <c r="P10" s="81">
        <f t="shared" si="4"/>
        <v>0</v>
      </c>
      <c r="Q10" s="81">
        <f t="shared" si="4"/>
        <v>0</v>
      </c>
      <c r="R10" s="81">
        <f t="shared" si="4"/>
        <v>0</v>
      </c>
      <c r="S10" s="81">
        <f t="shared" si="0"/>
        <v>8237846.9538475024</v>
      </c>
      <c r="AS10" s="78" t="s">
        <v>60</v>
      </c>
      <c r="AT10" s="78" t="s">
        <v>61</v>
      </c>
      <c r="AU10" s="71" t="s">
        <v>62</v>
      </c>
    </row>
    <row r="11" spans="1:47">
      <c r="A11" s="75">
        <v>5</v>
      </c>
      <c r="B11" s="78" t="s">
        <v>63</v>
      </c>
      <c r="C11" s="81">
        <f>+C6*C36</f>
        <v>501552.09856062313</v>
      </c>
      <c r="D11" s="81">
        <f>+D6*D36</f>
        <v>437562.45417799213</v>
      </c>
      <c r="E11" s="81">
        <f t="shared" ref="E11:F11" si="5">+E6*E36</f>
        <v>0</v>
      </c>
      <c r="F11" s="81">
        <f t="shared" si="5"/>
        <v>0</v>
      </c>
      <c r="G11" s="81">
        <f t="shared" ref="G11:R11" si="6">+G6*G36</f>
        <v>0</v>
      </c>
      <c r="H11" s="81">
        <f t="shared" si="6"/>
        <v>0</v>
      </c>
      <c r="I11" s="81">
        <f t="shared" si="6"/>
        <v>0</v>
      </c>
      <c r="J11" s="81">
        <f t="shared" si="6"/>
        <v>0</v>
      </c>
      <c r="K11" s="81">
        <f t="shared" si="6"/>
        <v>0</v>
      </c>
      <c r="L11" s="81">
        <f t="shared" si="6"/>
        <v>0</v>
      </c>
      <c r="M11" s="81">
        <f t="shared" si="6"/>
        <v>0</v>
      </c>
      <c r="N11" s="81">
        <f t="shared" si="6"/>
        <v>0</v>
      </c>
      <c r="O11" s="81">
        <f t="shared" si="6"/>
        <v>0</v>
      </c>
      <c r="P11" s="81">
        <f t="shared" si="6"/>
        <v>0</v>
      </c>
      <c r="Q11" s="81">
        <f t="shared" si="6"/>
        <v>0</v>
      </c>
      <c r="R11" s="81">
        <f t="shared" si="6"/>
        <v>0</v>
      </c>
      <c r="S11" s="81">
        <f t="shared" si="0"/>
        <v>939114.55273861531</v>
      </c>
      <c r="AS11" s="78" t="s">
        <v>64</v>
      </c>
      <c r="AT11" s="78" t="s">
        <v>63</v>
      </c>
    </row>
    <row r="12" spans="1:47">
      <c r="A12" s="75">
        <v>6</v>
      </c>
      <c r="B12" s="78" t="s">
        <v>65</v>
      </c>
      <c r="C12" s="81">
        <f>+C6*C37</f>
        <v>329968.48589514685</v>
      </c>
      <c r="D12" s="81">
        <f>+D6*D37</f>
        <v>287870.03564341593</v>
      </c>
      <c r="E12" s="81">
        <f t="shared" ref="E12:F12" si="7">+E6*E37</f>
        <v>0</v>
      </c>
      <c r="F12" s="81">
        <f t="shared" si="7"/>
        <v>0</v>
      </c>
      <c r="G12" s="81">
        <f t="shared" ref="G12:R12" si="8">+G6*G37</f>
        <v>0</v>
      </c>
      <c r="H12" s="81">
        <f t="shared" si="8"/>
        <v>0</v>
      </c>
      <c r="I12" s="81">
        <f t="shared" si="8"/>
        <v>0</v>
      </c>
      <c r="J12" s="81">
        <f t="shared" si="8"/>
        <v>0</v>
      </c>
      <c r="K12" s="81">
        <f t="shared" si="8"/>
        <v>0</v>
      </c>
      <c r="L12" s="81">
        <f t="shared" si="8"/>
        <v>0</v>
      </c>
      <c r="M12" s="81">
        <f t="shared" si="8"/>
        <v>0</v>
      </c>
      <c r="N12" s="81">
        <f t="shared" si="8"/>
        <v>0</v>
      </c>
      <c r="O12" s="81">
        <f t="shared" si="8"/>
        <v>0</v>
      </c>
      <c r="P12" s="81">
        <f t="shared" si="8"/>
        <v>0</v>
      </c>
      <c r="Q12" s="81">
        <f t="shared" si="8"/>
        <v>0</v>
      </c>
      <c r="R12" s="81">
        <f t="shared" si="8"/>
        <v>0</v>
      </c>
      <c r="S12" s="81">
        <f t="shared" si="0"/>
        <v>617838.52153856284</v>
      </c>
      <c r="AS12" s="78" t="s">
        <v>66</v>
      </c>
      <c r="AT12" s="78" t="s">
        <v>65</v>
      </c>
    </row>
    <row r="13" spans="1:47">
      <c r="A13" s="75">
        <v>7</v>
      </c>
      <c r="B13" s="78" t="s">
        <v>67</v>
      </c>
      <c r="C13" s="81">
        <f>+C6*C38</f>
        <v>147071.66799897968</v>
      </c>
      <c r="D13" s="81">
        <f>+D6*D38</f>
        <v>128307.78731535109</v>
      </c>
      <c r="E13" s="81">
        <f t="shared" ref="E13:F13" si="9">+E6*E38</f>
        <v>0</v>
      </c>
      <c r="F13" s="81">
        <f t="shared" si="9"/>
        <v>0</v>
      </c>
      <c r="G13" s="81">
        <f t="shared" ref="G13:R13" si="10">+G6*G38</f>
        <v>0</v>
      </c>
      <c r="H13" s="81">
        <f t="shared" si="10"/>
        <v>0</v>
      </c>
      <c r="I13" s="81">
        <f t="shared" si="10"/>
        <v>0</v>
      </c>
      <c r="J13" s="81">
        <f t="shared" si="10"/>
        <v>0</v>
      </c>
      <c r="K13" s="81">
        <f t="shared" si="10"/>
        <v>0</v>
      </c>
      <c r="L13" s="81">
        <f t="shared" si="10"/>
        <v>0</v>
      </c>
      <c r="M13" s="81">
        <f t="shared" si="10"/>
        <v>0</v>
      </c>
      <c r="N13" s="81">
        <f t="shared" si="10"/>
        <v>0</v>
      </c>
      <c r="O13" s="81">
        <f t="shared" si="10"/>
        <v>0</v>
      </c>
      <c r="P13" s="81">
        <f t="shared" si="10"/>
        <v>0</v>
      </c>
      <c r="Q13" s="81">
        <f t="shared" si="10"/>
        <v>0</v>
      </c>
      <c r="R13" s="81">
        <f t="shared" si="10"/>
        <v>0</v>
      </c>
      <c r="S13" s="81">
        <f t="shared" si="0"/>
        <v>275379.45531433076</v>
      </c>
      <c r="AS13" s="78" t="s">
        <v>68</v>
      </c>
      <c r="AT13" s="78" t="s">
        <v>67</v>
      </c>
      <c r="AU13" s="71" t="s">
        <v>51</v>
      </c>
    </row>
    <row r="14" spans="1:47">
      <c r="A14" s="75">
        <v>8</v>
      </c>
      <c r="B14" s="83" t="s">
        <v>69</v>
      </c>
      <c r="C14" s="81">
        <f>SUM(C11:C13)</f>
        <v>978592.25245474966</v>
      </c>
      <c r="D14" s="81">
        <f>SUM(D11:D13)</f>
        <v>853740.27713675913</v>
      </c>
      <c r="E14" s="81">
        <f t="shared" ref="E14:S14" si="11">SUM(E11:E13)</f>
        <v>0</v>
      </c>
      <c r="F14" s="81">
        <f t="shared" si="11"/>
        <v>0</v>
      </c>
      <c r="G14" s="81">
        <f t="shared" ref="G14:R14" si="12">SUM(G11:G13)</f>
        <v>0</v>
      </c>
      <c r="H14" s="81">
        <f t="shared" si="12"/>
        <v>0</v>
      </c>
      <c r="I14" s="81">
        <f t="shared" si="12"/>
        <v>0</v>
      </c>
      <c r="J14" s="81">
        <f t="shared" si="12"/>
        <v>0</v>
      </c>
      <c r="K14" s="81">
        <f t="shared" si="12"/>
        <v>0</v>
      </c>
      <c r="L14" s="81">
        <f t="shared" si="12"/>
        <v>0</v>
      </c>
      <c r="M14" s="81">
        <f t="shared" si="12"/>
        <v>0</v>
      </c>
      <c r="N14" s="81">
        <f t="shared" si="12"/>
        <v>0</v>
      </c>
      <c r="O14" s="81">
        <f t="shared" si="12"/>
        <v>0</v>
      </c>
      <c r="P14" s="81">
        <f t="shared" si="12"/>
        <v>0</v>
      </c>
      <c r="Q14" s="81">
        <f t="shared" si="12"/>
        <v>0</v>
      </c>
      <c r="R14" s="81">
        <f t="shared" si="12"/>
        <v>0</v>
      </c>
      <c r="S14" s="81">
        <f t="shared" si="11"/>
        <v>1832332.5295915089</v>
      </c>
      <c r="AS14" s="78" t="s">
        <v>70</v>
      </c>
      <c r="AT14" s="83" t="s">
        <v>69</v>
      </c>
    </row>
    <row r="15" spans="1:47">
      <c r="A15" s="75">
        <v>9</v>
      </c>
      <c r="B15" s="83" t="s">
        <v>71</v>
      </c>
      <c r="C15" s="81">
        <f>+C9-C10-C14</f>
        <v>906941.95266037493</v>
      </c>
      <c r="D15" s="81">
        <f>+D9-D10-D14</f>
        <v>791231.35511133238</v>
      </c>
      <c r="E15" s="81">
        <f t="shared" ref="E15:S15" si="13">+E9-E10-E14</f>
        <v>0</v>
      </c>
      <c r="F15" s="81">
        <f t="shared" si="13"/>
        <v>0</v>
      </c>
      <c r="G15" s="81">
        <f t="shared" ref="G15:R15" si="14">+G9-G10-G14</f>
        <v>0</v>
      </c>
      <c r="H15" s="81">
        <f t="shared" si="14"/>
        <v>0</v>
      </c>
      <c r="I15" s="81">
        <f t="shared" si="14"/>
        <v>0</v>
      </c>
      <c r="J15" s="81">
        <f t="shared" si="14"/>
        <v>0</v>
      </c>
      <c r="K15" s="81">
        <f t="shared" si="14"/>
        <v>0</v>
      </c>
      <c r="L15" s="81">
        <f t="shared" si="14"/>
        <v>0</v>
      </c>
      <c r="M15" s="81">
        <f t="shared" si="14"/>
        <v>0</v>
      </c>
      <c r="N15" s="81">
        <f t="shared" si="14"/>
        <v>0</v>
      </c>
      <c r="O15" s="81">
        <f t="shared" si="14"/>
        <v>0</v>
      </c>
      <c r="P15" s="81">
        <f t="shared" si="14"/>
        <v>0</v>
      </c>
      <c r="Q15" s="81">
        <f t="shared" si="14"/>
        <v>0</v>
      </c>
      <c r="R15" s="81">
        <f t="shared" si="14"/>
        <v>0</v>
      </c>
      <c r="S15" s="81">
        <f t="shared" si="13"/>
        <v>1698173.3077717072</v>
      </c>
      <c r="AS15" s="78" t="s">
        <v>72</v>
      </c>
      <c r="AT15" s="83" t="s">
        <v>71</v>
      </c>
    </row>
    <row r="16" spans="1:47">
      <c r="A16" s="75">
        <v>10</v>
      </c>
      <c r="B16" s="78" t="s">
        <v>73</v>
      </c>
      <c r="C16" s="84">
        <f>+C15/C9</f>
        <v>0.14430000000000001</v>
      </c>
      <c r="D16" s="84">
        <f>+D15/D9</f>
        <v>0.14430000000000012</v>
      </c>
      <c r="E16" s="84" t="e">
        <f t="shared" ref="E16:F16" si="15">+E15/E9</f>
        <v>#DIV/0!</v>
      </c>
      <c r="F16" s="84" t="e">
        <f t="shared" si="15"/>
        <v>#DIV/0!</v>
      </c>
      <c r="G16" s="84" t="e">
        <f t="shared" ref="G16:R16" si="16">+G15/G9</f>
        <v>#DIV/0!</v>
      </c>
      <c r="H16" s="84" t="e">
        <f t="shared" si="16"/>
        <v>#DIV/0!</v>
      </c>
      <c r="I16" s="84" t="e">
        <f t="shared" si="16"/>
        <v>#DIV/0!</v>
      </c>
      <c r="J16" s="84" t="e">
        <f t="shared" si="16"/>
        <v>#DIV/0!</v>
      </c>
      <c r="K16" s="84" t="e">
        <f t="shared" si="16"/>
        <v>#DIV/0!</v>
      </c>
      <c r="L16" s="84" t="e">
        <f t="shared" si="16"/>
        <v>#DIV/0!</v>
      </c>
      <c r="M16" s="84" t="e">
        <f t="shared" si="16"/>
        <v>#DIV/0!</v>
      </c>
      <c r="N16" s="84" t="e">
        <f t="shared" si="16"/>
        <v>#DIV/0!</v>
      </c>
      <c r="O16" s="84" t="e">
        <f t="shared" si="16"/>
        <v>#DIV/0!</v>
      </c>
      <c r="P16" s="84" t="e">
        <f t="shared" si="16"/>
        <v>#DIV/0!</v>
      </c>
      <c r="Q16" s="84" t="e">
        <f t="shared" si="16"/>
        <v>#DIV/0!</v>
      </c>
      <c r="R16" s="84" t="e">
        <f t="shared" si="16"/>
        <v>#DIV/0!</v>
      </c>
      <c r="S16" s="84">
        <f>+S15/S9</f>
        <v>0.14430000000000004</v>
      </c>
      <c r="AS16" s="78" t="s">
        <v>74</v>
      </c>
      <c r="AT16" s="78" t="s">
        <v>73</v>
      </c>
    </row>
    <row r="17" spans="1:47">
      <c r="A17" s="75">
        <v>11</v>
      </c>
      <c r="B17" s="78" t="s">
        <v>75</v>
      </c>
      <c r="C17" s="81">
        <f>C6*C43+C18</f>
        <v>530847.71727929125</v>
      </c>
      <c r="D17" s="81">
        <f>D6*D43+D18</f>
        <v>480089.01440434717</v>
      </c>
      <c r="E17" s="81">
        <f t="shared" ref="E17:F17" si="17">E6*E43+E18</f>
        <v>0</v>
      </c>
      <c r="F17" s="81">
        <f t="shared" si="17"/>
        <v>0</v>
      </c>
      <c r="G17" s="81">
        <f t="shared" ref="G17:R17" si="18">G6*G43+G18</f>
        <v>0</v>
      </c>
      <c r="H17" s="81">
        <f t="shared" si="18"/>
        <v>0</v>
      </c>
      <c r="I17" s="81">
        <f t="shared" si="18"/>
        <v>0</v>
      </c>
      <c r="J17" s="81">
        <f t="shared" si="18"/>
        <v>0</v>
      </c>
      <c r="K17" s="81">
        <f t="shared" si="18"/>
        <v>0</v>
      </c>
      <c r="L17" s="81">
        <f t="shared" si="18"/>
        <v>0</v>
      </c>
      <c r="M17" s="81">
        <f t="shared" si="18"/>
        <v>0</v>
      </c>
      <c r="N17" s="81">
        <f t="shared" si="18"/>
        <v>0</v>
      </c>
      <c r="O17" s="81">
        <f t="shared" si="18"/>
        <v>0</v>
      </c>
      <c r="P17" s="81">
        <f t="shared" si="18"/>
        <v>0</v>
      </c>
      <c r="Q17" s="81">
        <f t="shared" si="18"/>
        <v>0</v>
      </c>
      <c r="R17" s="81">
        <f t="shared" si="18"/>
        <v>0</v>
      </c>
      <c r="S17" s="81">
        <f>+SUM(C17:R17)</f>
        <v>1010936.7316836384</v>
      </c>
      <c r="T17" s="82"/>
      <c r="AS17" s="78" t="s">
        <v>76</v>
      </c>
      <c r="AT17" s="78" t="s">
        <v>75</v>
      </c>
    </row>
    <row r="18" spans="1:47" s="72" customFormat="1">
      <c r="A18" s="75">
        <v>12</v>
      </c>
      <c r="B18" s="86" t="s">
        <v>145</v>
      </c>
      <c r="C18" s="87">
        <f>$S$18/$S$6*C6</f>
        <v>133000</v>
      </c>
      <c r="D18" s="87">
        <f>$S$18/$S$6*D6</f>
        <v>133000</v>
      </c>
      <c r="E18" s="87">
        <f>$S$18/$S$6*E6</f>
        <v>0</v>
      </c>
      <c r="F18" s="87">
        <f>$S$18/$S$6*F6</f>
        <v>0</v>
      </c>
      <c r="G18" s="87">
        <f t="shared" ref="G18:R18" si="19">$S$18/$S$6*G6</f>
        <v>0</v>
      </c>
      <c r="H18" s="87">
        <f t="shared" si="19"/>
        <v>0</v>
      </c>
      <c r="I18" s="87">
        <f t="shared" si="19"/>
        <v>0</v>
      </c>
      <c r="J18" s="87">
        <f t="shared" si="19"/>
        <v>0</v>
      </c>
      <c r="K18" s="87">
        <f t="shared" si="19"/>
        <v>0</v>
      </c>
      <c r="L18" s="87">
        <f t="shared" si="19"/>
        <v>0</v>
      </c>
      <c r="M18" s="87">
        <f t="shared" si="19"/>
        <v>0</v>
      </c>
      <c r="N18" s="87">
        <f t="shared" si="19"/>
        <v>0</v>
      </c>
      <c r="O18" s="87">
        <f t="shared" si="19"/>
        <v>0</v>
      </c>
      <c r="P18" s="87">
        <f t="shared" si="19"/>
        <v>0</v>
      </c>
      <c r="Q18" s="87">
        <f t="shared" si="19"/>
        <v>0</v>
      </c>
      <c r="R18" s="87">
        <f t="shared" si="19"/>
        <v>0</v>
      </c>
      <c r="S18" s="81">
        <f>项目投资!F26</f>
        <v>266000</v>
      </c>
      <c r="T18" s="88" t="s">
        <v>146</v>
      </c>
      <c r="U18" s="88"/>
      <c r="V18" s="88"/>
    </row>
    <row r="19" spans="1:47">
      <c r="A19" s="75">
        <v>13</v>
      </c>
      <c r="B19" s="78" t="s">
        <v>77</v>
      </c>
      <c r="C19" s="81">
        <f>C6*C44</f>
        <v>0</v>
      </c>
      <c r="D19" s="81">
        <f>D6*D44</f>
        <v>0</v>
      </c>
      <c r="E19" s="81">
        <f t="shared" ref="E19:F19" si="20">E6*E44</f>
        <v>0</v>
      </c>
      <c r="F19" s="81">
        <f t="shared" si="20"/>
        <v>0</v>
      </c>
      <c r="G19" s="81">
        <f t="shared" ref="G19:R19" si="21">G6*G44</f>
        <v>0</v>
      </c>
      <c r="H19" s="81">
        <f t="shared" si="21"/>
        <v>0</v>
      </c>
      <c r="I19" s="81">
        <f t="shared" si="21"/>
        <v>0</v>
      </c>
      <c r="J19" s="81">
        <f t="shared" si="21"/>
        <v>0</v>
      </c>
      <c r="K19" s="81">
        <f t="shared" si="21"/>
        <v>0</v>
      </c>
      <c r="L19" s="81">
        <f t="shared" si="21"/>
        <v>0</v>
      </c>
      <c r="M19" s="81">
        <f t="shared" si="21"/>
        <v>0</v>
      </c>
      <c r="N19" s="81">
        <f t="shared" si="21"/>
        <v>0</v>
      </c>
      <c r="O19" s="81">
        <f t="shared" si="21"/>
        <v>0</v>
      </c>
      <c r="P19" s="81">
        <f t="shared" si="21"/>
        <v>0</v>
      </c>
      <c r="Q19" s="81">
        <f t="shared" si="21"/>
        <v>0</v>
      </c>
      <c r="R19" s="81">
        <f t="shared" si="21"/>
        <v>0</v>
      </c>
      <c r="S19" s="81">
        <f>+SUM(C19:R19)</f>
        <v>0</v>
      </c>
      <c r="T19" s="72"/>
      <c r="AS19" s="78" t="s">
        <v>78</v>
      </c>
      <c r="AT19" s="78" t="s">
        <v>77</v>
      </c>
      <c r="AU19" s="71" t="s">
        <v>51</v>
      </c>
    </row>
    <row r="20" spans="1:47">
      <c r="A20" s="75">
        <v>14</v>
      </c>
      <c r="B20" s="78" t="s">
        <v>79</v>
      </c>
      <c r="C20" s="81">
        <f>C6*C45</f>
        <v>30797.058683547035</v>
      </c>
      <c r="D20" s="81">
        <f>D6*D45</f>
        <v>26867.869993385484</v>
      </c>
      <c r="E20" s="81">
        <f t="shared" ref="E20:F20" si="22">E6*E45</f>
        <v>0</v>
      </c>
      <c r="F20" s="81">
        <f t="shared" si="22"/>
        <v>0</v>
      </c>
      <c r="G20" s="81">
        <f t="shared" ref="G20:R20" si="23">G6*G45</f>
        <v>0</v>
      </c>
      <c r="H20" s="81">
        <f t="shared" si="23"/>
        <v>0</v>
      </c>
      <c r="I20" s="81">
        <f t="shared" si="23"/>
        <v>0</v>
      </c>
      <c r="J20" s="81">
        <f t="shared" si="23"/>
        <v>0</v>
      </c>
      <c r="K20" s="81">
        <f t="shared" si="23"/>
        <v>0</v>
      </c>
      <c r="L20" s="81">
        <f t="shared" si="23"/>
        <v>0</v>
      </c>
      <c r="M20" s="81">
        <f t="shared" si="23"/>
        <v>0</v>
      </c>
      <c r="N20" s="81">
        <f t="shared" si="23"/>
        <v>0</v>
      </c>
      <c r="O20" s="81">
        <f t="shared" si="23"/>
        <v>0</v>
      </c>
      <c r="P20" s="81">
        <f t="shared" si="23"/>
        <v>0</v>
      </c>
      <c r="Q20" s="81">
        <f t="shared" si="23"/>
        <v>0</v>
      </c>
      <c r="R20" s="81">
        <f t="shared" si="23"/>
        <v>0</v>
      </c>
      <c r="S20" s="81">
        <f>+SUM(C20:R20)</f>
        <v>57664.928676932519</v>
      </c>
      <c r="AS20" s="78" t="s">
        <v>80</v>
      </c>
      <c r="AT20" s="78" t="s">
        <v>79</v>
      </c>
    </row>
    <row r="21" spans="1:47">
      <c r="A21" s="75">
        <v>15</v>
      </c>
      <c r="B21" s="78" t="s">
        <v>81</v>
      </c>
      <c r="C21" s="89">
        <f>$S$21/$S$6*C6</f>
        <v>10000</v>
      </c>
      <c r="D21" s="89">
        <f>$S$21/$S$6*D6</f>
        <v>10000</v>
      </c>
      <c r="E21" s="89">
        <f>$S$21/$S$6*E6</f>
        <v>0</v>
      </c>
      <c r="F21" s="89">
        <f>$S$21/$S$6*F6</f>
        <v>0</v>
      </c>
      <c r="G21" s="89">
        <f t="shared" ref="G21:R21" si="24">$S$21/$S$6*G6</f>
        <v>0</v>
      </c>
      <c r="H21" s="89">
        <f t="shared" si="24"/>
        <v>0</v>
      </c>
      <c r="I21" s="89">
        <f t="shared" si="24"/>
        <v>0</v>
      </c>
      <c r="J21" s="89">
        <f t="shared" si="24"/>
        <v>0</v>
      </c>
      <c r="K21" s="89">
        <f t="shared" si="24"/>
        <v>0</v>
      </c>
      <c r="L21" s="89">
        <f t="shared" si="24"/>
        <v>0</v>
      </c>
      <c r="M21" s="89">
        <f t="shared" si="24"/>
        <v>0</v>
      </c>
      <c r="N21" s="89">
        <f t="shared" si="24"/>
        <v>0</v>
      </c>
      <c r="O21" s="89">
        <f t="shared" si="24"/>
        <v>0</v>
      </c>
      <c r="P21" s="89">
        <f t="shared" si="24"/>
        <v>0</v>
      </c>
      <c r="Q21" s="89">
        <f t="shared" si="24"/>
        <v>0</v>
      </c>
      <c r="R21" s="89">
        <f t="shared" si="24"/>
        <v>0</v>
      </c>
      <c r="S21" s="81">
        <f>项目投资!F27</f>
        <v>20000</v>
      </c>
      <c r="AS21" s="78"/>
      <c r="AT21" s="78"/>
    </row>
    <row r="22" spans="1:47">
      <c r="A22" s="75">
        <v>16</v>
      </c>
      <c r="B22" s="78" t="s">
        <v>82</v>
      </c>
      <c r="C22" s="81">
        <f>C6*C47</f>
        <v>233806.24143427543</v>
      </c>
      <c r="D22" s="81">
        <f>D6*D47</f>
        <v>203976.48239876324</v>
      </c>
      <c r="E22" s="81">
        <f t="shared" ref="E22:F22" si="25">E6*E47</f>
        <v>0</v>
      </c>
      <c r="F22" s="81">
        <f t="shared" si="25"/>
        <v>0</v>
      </c>
      <c r="G22" s="81">
        <f t="shared" ref="G22:R22" si="26">G6*G47</f>
        <v>0</v>
      </c>
      <c r="H22" s="81">
        <f t="shared" si="26"/>
        <v>0</v>
      </c>
      <c r="I22" s="81">
        <f t="shared" si="26"/>
        <v>0</v>
      </c>
      <c r="J22" s="81">
        <f t="shared" si="26"/>
        <v>0</v>
      </c>
      <c r="K22" s="81">
        <f t="shared" si="26"/>
        <v>0</v>
      </c>
      <c r="L22" s="81">
        <f t="shared" si="26"/>
        <v>0</v>
      </c>
      <c r="M22" s="81">
        <f t="shared" si="26"/>
        <v>0</v>
      </c>
      <c r="N22" s="81">
        <f t="shared" si="26"/>
        <v>0</v>
      </c>
      <c r="O22" s="81">
        <f t="shared" si="26"/>
        <v>0</v>
      </c>
      <c r="P22" s="81">
        <f t="shared" si="26"/>
        <v>0</v>
      </c>
      <c r="Q22" s="81">
        <f t="shared" si="26"/>
        <v>0</v>
      </c>
      <c r="R22" s="81">
        <f t="shared" si="26"/>
        <v>0</v>
      </c>
      <c r="S22" s="81">
        <f t="shared" ref="S22:S23" si="27">+SUM(C22:R22)</f>
        <v>437782.7238330387</v>
      </c>
      <c r="AS22" s="78" t="s">
        <v>83</v>
      </c>
      <c r="AT22" s="78" t="s">
        <v>82</v>
      </c>
    </row>
    <row r="23" spans="1:47">
      <c r="A23" s="75">
        <v>17</v>
      </c>
      <c r="B23" s="83" t="s">
        <v>84</v>
      </c>
      <c r="C23" s="89">
        <f>+C22+C21+C20+C19+C17</f>
        <v>805451.01739711373</v>
      </c>
      <c r="D23" s="89">
        <f>+D22+D21+D20+D19+D17</f>
        <v>720933.36679649586</v>
      </c>
      <c r="E23" s="89">
        <f t="shared" ref="E23:F23" si="28">+E22+E21+E20+E19+E17</f>
        <v>0</v>
      </c>
      <c r="F23" s="89">
        <f t="shared" si="28"/>
        <v>0</v>
      </c>
      <c r="G23" s="89">
        <f t="shared" ref="G23:R23" si="29">+G22+G21+G20+G19+G17</f>
        <v>0</v>
      </c>
      <c r="H23" s="89">
        <f t="shared" si="29"/>
        <v>0</v>
      </c>
      <c r="I23" s="89">
        <f t="shared" si="29"/>
        <v>0</v>
      </c>
      <c r="J23" s="89">
        <f t="shared" si="29"/>
        <v>0</v>
      </c>
      <c r="K23" s="89">
        <f t="shared" si="29"/>
        <v>0</v>
      </c>
      <c r="L23" s="89">
        <f t="shared" si="29"/>
        <v>0</v>
      </c>
      <c r="M23" s="89">
        <f t="shared" si="29"/>
        <v>0</v>
      </c>
      <c r="N23" s="89">
        <f t="shared" si="29"/>
        <v>0</v>
      </c>
      <c r="O23" s="89">
        <f t="shared" si="29"/>
        <v>0</v>
      </c>
      <c r="P23" s="89">
        <f t="shared" si="29"/>
        <v>0</v>
      </c>
      <c r="Q23" s="89">
        <f t="shared" si="29"/>
        <v>0</v>
      </c>
      <c r="R23" s="89">
        <f t="shared" si="29"/>
        <v>0</v>
      </c>
      <c r="S23" s="81">
        <f t="shared" si="27"/>
        <v>1526384.3841936095</v>
      </c>
      <c r="AS23" s="78" t="s">
        <v>85</v>
      </c>
      <c r="AT23" s="83" t="s">
        <v>84</v>
      </c>
    </row>
    <row r="24" spans="1:47">
      <c r="A24" s="75">
        <v>18</v>
      </c>
      <c r="B24" s="90" t="s">
        <v>86</v>
      </c>
      <c r="C24" s="89">
        <f>+C15-C23</f>
        <v>101490.9352632612</v>
      </c>
      <c r="D24" s="89">
        <f>+D15-D23</f>
        <v>70297.988314836519</v>
      </c>
      <c r="E24" s="89">
        <f t="shared" ref="E24:F24" si="30">+E15-E23</f>
        <v>0</v>
      </c>
      <c r="F24" s="89">
        <f t="shared" si="30"/>
        <v>0</v>
      </c>
      <c r="G24" s="89">
        <f t="shared" ref="G24:R24" si="31">+G15-G23</f>
        <v>0</v>
      </c>
      <c r="H24" s="89">
        <f t="shared" si="31"/>
        <v>0</v>
      </c>
      <c r="I24" s="89">
        <f t="shared" si="31"/>
        <v>0</v>
      </c>
      <c r="J24" s="89">
        <f t="shared" si="31"/>
        <v>0</v>
      </c>
      <c r="K24" s="89">
        <f t="shared" si="31"/>
        <v>0</v>
      </c>
      <c r="L24" s="89">
        <f t="shared" si="31"/>
        <v>0</v>
      </c>
      <c r="M24" s="89">
        <f t="shared" si="31"/>
        <v>0</v>
      </c>
      <c r="N24" s="89">
        <f t="shared" si="31"/>
        <v>0</v>
      </c>
      <c r="O24" s="89">
        <f t="shared" si="31"/>
        <v>0</v>
      </c>
      <c r="P24" s="89">
        <f t="shared" si="31"/>
        <v>0</v>
      </c>
      <c r="Q24" s="89">
        <f t="shared" si="31"/>
        <v>0</v>
      </c>
      <c r="R24" s="89">
        <f t="shared" si="31"/>
        <v>0</v>
      </c>
      <c r="S24" s="89">
        <f>+S15-S23</f>
        <v>171788.92357809772</v>
      </c>
      <c r="U24" s="91"/>
      <c r="AS24" s="78" t="s">
        <v>87</v>
      </c>
      <c r="AT24" s="78" t="s">
        <v>86</v>
      </c>
    </row>
    <row r="25" spans="1:47">
      <c r="A25" s="75">
        <v>19</v>
      </c>
      <c r="B25" s="78" t="s">
        <v>264</v>
      </c>
      <c r="C25" s="89">
        <f>IF(C24&lt;0,0,C24*0.15)</f>
        <v>15223.64028948918</v>
      </c>
      <c r="D25" s="89">
        <f t="shared" ref="D25:S25" si="32">IF(D24&lt;0,0,D24*0.15)</f>
        <v>10544.698247225477</v>
      </c>
      <c r="E25" s="89">
        <f t="shared" ref="E25:F25" si="33">IF(E24&lt;0,0,E24*0.15)</f>
        <v>0</v>
      </c>
      <c r="F25" s="89">
        <f t="shared" si="33"/>
        <v>0</v>
      </c>
      <c r="G25" s="89">
        <f t="shared" ref="G25:R25" si="34">IF(G24&lt;0,0,G24*0.15)</f>
        <v>0</v>
      </c>
      <c r="H25" s="89">
        <f t="shared" si="34"/>
        <v>0</v>
      </c>
      <c r="I25" s="89">
        <f t="shared" si="34"/>
        <v>0</v>
      </c>
      <c r="J25" s="89">
        <f t="shared" si="34"/>
        <v>0</v>
      </c>
      <c r="K25" s="89">
        <f t="shared" si="34"/>
        <v>0</v>
      </c>
      <c r="L25" s="89">
        <f t="shared" si="34"/>
        <v>0</v>
      </c>
      <c r="M25" s="89">
        <f t="shared" si="34"/>
        <v>0</v>
      </c>
      <c r="N25" s="89">
        <f t="shared" si="34"/>
        <v>0</v>
      </c>
      <c r="O25" s="89">
        <f t="shared" si="34"/>
        <v>0</v>
      </c>
      <c r="P25" s="89">
        <f t="shared" si="34"/>
        <v>0</v>
      </c>
      <c r="Q25" s="89">
        <f t="shared" si="34"/>
        <v>0</v>
      </c>
      <c r="R25" s="89">
        <f t="shared" si="34"/>
        <v>0</v>
      </c>
      <c r="S25" s="89">
        <f t="shared" si="32"/>
        <v>25768.338536714658</v>
      </c>
      <c r="T25" s="2"/>
      <c r="U25" s="2"/>
      <c r="V25" s="2"/>
      <c r="AS25" s="78" t="s">
        <v>88</v>
      </c>
      <c r="AT25" s="78" t="s">
        <v>35</v>
      </c>
    </row>
    <row r="26" spans="1:47">
      <c r="A26" s="75">
        <v>20</v>
      </c>
      <c r="B26" s="78" t="s">
        <v>89</v>
      </c>
      <c r="C26" s="89">
        <f>C24-C25</f>
        <v>86267.294973772019</v>
      </c>
      <c r="D26" s="89">
        <f>D24-D25</f>
        <v>59753.290067611044</v>
      </c>
      <c r="E26" s="89">
        <f t="shared" ref="E26:S26" si="35">E24-E25</f>
        <v>0</v>
      </c>
      <c r="F26" s="89">
        <f t="shared" si="35"/>
        <v>0</v>
      </c>
      <c r="G26" s="89">
        <f t="shared" ref="G26:R26" si="36">G24-G25</f>
        <v>0</v>
      </c>
      <c r="H26" s="89">
        <f t="shared" si="36"/>
        <v>0</v>
      </c>
      <c r="I26" s="89">
        <f t="shared" si="36"/>
        <v>0</v>
      </c>
      <c r="J26" s="89">
        <f t="shared" si="36"/>
        <v>0</v>
      </c>
      <c r="K26" s="89">
        <f t="shared" si="36"/>
        <v>0</v>
      </c>
      <c r="L26" s="89">
        <f t="shared" si="36"/>
        <v>0</v>
      </c>
      <c r="M26" s="89">
        <f t="shared" si="36"/>
        <v>0</v>
      </c>
      <c r="N26" s="89">
        <f t="shared" si="36"/>
        <v>0</v>
      </c>
      <c r="O26" s="89">
        <f t="shared" si="36"/>
        <v>0</v>
      </c>
      <c r="P26" s="89">
        <f t="shared" si="36"/>
        <v>0</v>
      </c>
      <c r="Q26" s="89">
        <f t="shared" si="36"/>
        <v>0</v>
      </c>
      <c r="R26" s="89">
        <f t="shared" si="36"/>
        <v>0</v>
      </c>
      <c r="S26" s="89">
        <f t="shared" si="35"/>
        <v>146020.58504138305</v>
      </c>
      <c r="T26" s="2"/>
      <c r="U26" s="2"/>
      <c r="V26" s="2"/>
      <c r="AS26" s="78" t="s">
        <v>90</v>
      </c>
      <c r="AT26" s="78" t="s">
        <v>89</v>
      </c>
    </row>
    <row r="27" spans="1:47">
      <c r="A27" s="75">
        <v>21</v>
      </c>
      <c r="B27" s="78" t="s">
        <v>93</v>
      </c>
      <c r="C27" s="92">
        <f>C26/C9</f>
        <v>1.3725653144834593E-2</v>
      </c>
      <c r="D27" s="92">
        <f t="shared" ref="D27:S27" si="37">D26/D9</f>
        <v>1.0897444471905493E-2</v>
      </c>
      <c r="E27" s="92" t="e">
        <f t="shared" si="37"/>
        <v>#DIV/0!</v>
      </c>
      <c r="F27" s="92" t="e">
        <f t="shared" si="37"/>
        <v>#DIV/0!</v>
      </c>
      <c r="G27" s="92" t="e">
        <f t="shared" ref="G27:R27" si="38">G26/G9</f>
        <v>#DIV/0!</v>
      </c>
      <c r="H27" s="92" t="e">
        <f t="shared" si="38"/>
        <v>#DIV/0!</v>
      </c>
      <c r="I27" s="92" t="e">
        <f t="shared" si="38"/>
        <v>#DIV/0!</v>
      </c>
      <c r="J27" s="92" t="e">
        <f t="shared" si="38"/>
        <v>#DIV/0!</v>
      </c>
      <c r="K27" s="92" t="e">
        <f t="shared" si="38"/>
        <v>#DIV/0!</v>
      </c>
      <c r="L27" s="92" t="e">
        <f t="shared" si="38"/>
        <v>#DIV/0!</v>
      </c>
      <c r="M27" s="92" t="e">
        <f t="shared" si="38"/>
        <v>#DIV/0!</v>
      </c>
      <c r="N27" s="92" t="e">
        <f t="shared" si="38"/>
        <v>#DIV/0!</v>
      </c>
      <c r="O27" s="92" t="e">
        <f t="shared" si="38"/>
        <v>#DIV/0!</v>
      </c>
      <c r="P27" s="92" t="e">
        <f t="shared" si="38"/>
        <v>#DIV/0!</v>
      </c>
      <c r="Q27" s="92" t="e">
        <f t="shared" si="38"/>
        <v>#DIV/0!</v>
      </c>
      <c r="R27" s="92" t="e">
        <f t="shared" si="38"/>
        <v>#DIV/0!</v>
      </c>
      <c r="S27" s="92">
        <f t="shared" si="37"/>
        <v>1.2407903436616857E-2</v>
      </c>
      <c r="T27" s="2"/>
      <c r="U27" s="2"/>
      <c r="V27" s="2"/>
      <c r="AS27" s="78" t="s">
        <v>92</v>
      </c>
      <c r="AT27" s="78" t="s">
        <v>93</v>
      </c>
    </row>
    <row r="28" spans="1:47">
      <c r="T28" s="2"/>
      <c r="U28" s="2"/>
      <c r="V28" s="2"/>
    </row>
    <row r="29" spans="1:47">
      <c r="A29" s="71" t="s">
        <v>94</v>
      </c>
      <c r="S29" s="74" t="s">
        <v>147</v>
      </c>
      <c r="T29" s="2"/>
      <c r="U29" s="2"/>
      <c r="V29" s="2"/>
      <c r="AS29" s="71" t="s">
        <v>94</v>
      </c>
    </row>
    <row r="30" spans="1:47">
      <c r="A30" s="78" t="s">
        <v>95</v>
      </c>
      <c r="B30" s="83" t="s">
        <v>96</v>
      </c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2"/>
      <c r="U30" s="2"/>
      <c r="V30" s="2"/>
      <c r="X30" s="2"/>
      <c r="AS30" s="78" t="s">
        <v>97</v>
      </c>
      <c r="AT30" s="83" t="s">
        <v>96</v>
      </c>
    </row>
    <row r="31" spans="1:47">
      <c r="A31" s="75">
        <v>1</v>
      </c>
      <c r="B31" s="86" t="s">
        <v>98</v>
      </c>
      <c r="C31" s="93">
        <f>销量!C8</f>
        <v>314.25570085252076</v>
      </c>
      <c r="D31" s="93">
        <f>销量!D8</f>
        <v>274.16193870801516</v>
      </c>
      <c r="E31" s="93">
        <f>销量!E8</f>
        <v>0</v>
      </c>
      <c r="F31" s="93">
        <f>销量!F8</f>
        <v>0</v>
      </c>
      <c r="G31" s="93">
        <f>销量!G8</f>
        <v>0</v>
      </c>
      <c r="H31" s="93">
        <f>销量!H8</f>
        <v>0</v>
      </c>
      <c r="I31" s="93">
        <f>销量!I8</f>
        <v>0</v>
      </c>
      <c r="J31" s="93">
        <f>销量!J8</f>
        <v>0</v>
      </c>
      <c r="K31" s="93">
        <f>销量!K8</f>
        <v>0</v>
      </c>
      <c r="L31" s="93">
        <f>销量!L8</f>
        <v>0</v>
      </c>
      <c r="M31" s="93">
        <f>销量!M8</f>
        <v>0</v>
      </c>
      <c r="N31" s="93">
        <f>销量!N8</f>
        <v>0</v>
      </c>
      <c r="O31" s="93">
        <f>销量!O8</f>
        <v>0</v>
      </c>
      <c r="P31" s="93">
        <f>销量!P8</f>
        <v>0</v>
      </c>
      <c r="Q31" s="93">
        <f>销量!Q8</f>
        <v>0</v>
      </c>
      <c r="R31" s="93">
        <f>销量!R8</f>
        <v>0</v>
      </c>
      <c r="S31" s="89"/>
      <c r="T31" s="2"/>
      <c r="U31" s="2"/>
      <c r="V31" s="2"/>
      <c r="X31" s="2"/>
      <c r="AS31" s="78" t="s">
        <v>53</v>
      </c>
      <c r="AT31" s="78" t="s">
        <v>98</v>
      </c>
    </row>
    <row r="32" spans="1:47">
      <c r="A32" s="75">
        <v>2</v>
      </c>
      <c r="B32" s="78" t="s">
        <v>148</v>
      </c>
      <c r="C32" s="81">
        <f>C9/C6</f>
        <v>314.25570085252076</v>
      </c>
      <c r="D32" s="81">
        <f t="shared" ref="D32:F32" si="39">D9/D6</f>
        <v>274.16193870801516</v>
      </c>
      <c r="E32" s="81" t="e">
        <f t="shared" si="39"/>
        <v>#DIV/0!</v>
      </c>
      <c r="F32" s="81" t="e">
        <f t="shared" si="39"/>
        <v>#DIV/0!</v>
      </c>
      <c r="G32" s="81" t="e">
        <f t="shared" ref="G32:R32" si="40">G9/G6</f>
        <v>#DIV/0!</v>
      </c>
      <c r="H32" s="81" t="e">
        <f t="shared" si="40"/>
        <v>#DIV/0!</v>
      </c>
      <c r="I32" s="81" t="e">
        <f t="shared" si="40"/>
        <v>#DIV/0!</v>
      </c>
      <c r="J32" s="81" t="e">
        <f t="shared" si="40"/>
        <v>#DIV/0!</v>
      </c>
      <c r="K32" s="81" t="e">
        <f t="shared" si="40"/>
        <v>#DIV/0!</v>
      </c>
      <c r="L32" s="81" t="e">
        <f t="shared" si="40"/>
        <v>#DIV/0!</v>
      </c>
      <c r="M32" s="81" t="e">
        <f t="shared" si="40"/>
        <v>#DIV/0!</v>
      </c>
      <c r="N32" s="81" t="e">
        <f t="shared" si="40"/>
        <v>#DIV/0!</v>
      </c>
      <c r="O32" s="81" t="e">
        <f t="shared" si="40"/>
        <v>#DIV/0!</v>
      </c>
      <c r="P32" s="81" t="e">
        <f t="shared" si="40"/>
        <v>#DIV/0!</v>
      </c>
      <c r="Q32" s="81" t="e">
        <f t="shared" si="40"/>
        <v>#DIV/0!</v>
      </c>
      <c r="R32" s="81" t="e">
        <f t="shared" si="40"/>
        <v>#DIV/0!</v>
      </c>
      <c r="S32" s="89"/>
      <c r="T32" s="2"/>
      <c r="U32" s="2"/>
      <c r="V32" s="2"/>
      <c r="W32" s="2"/>
      <c r="X32" s="2"/>
      <c r="Y32" s="2"/>
      <c r="Z32" s="2"/>
      <c r="AS32" s="78"/>
      <c r="AT32" s="78"/>
    </row>
    <row r="33" spans="1:46">
      <c r="A33" s="75">
        <v>3</v>
      </c>
      <c r="B33" s="86" t="s">
        <v>99</v>
      </c>
      <c r="C33" s="81">
        <f>材料成本!D26</f>
        <v>219.97899059676453</v>
      </c>
      <c r="D33" s="81">
        <f>材料成本!E26</f>
        <v>191.91335709561059</v>
      </c>
      <c r="E33" s="81">
        <f>材料成本!F26</f>
        <v>0</v>
      </c>
      <c r="F33" s="81">
        <f>材料成本!G26</f>
        <v>0</v>
      </c>
      <c r="G33" s="81">
        <f>材料成本!H26</f>
        <v>0</v>
      </c>
      <c r="H33" s="81">
        <f>材料成本!I26</f>
        <v>0</v>
      </c>
      <c r="I33" s="81">
        <f>材料成本!J26</f>
        <v>0</v>
      </c>
      <c r="J33" s="81">
        <f>材料成本!K26</f>
        <v>0</v>
      </c>
      <c r="K33" s="81">
        <f>材料成本!L26</f>
        <v>0</v>
      </c>
      <c r="L33" s="81">
        <f>材料成本!M26</f>
        <v>0</v>
      </c>
      <c r="M33" s="81">
        <f>材料成本!N26</f>
        <v>0</v>
      </c>
      <c r="N33" s="81">
        <f>材料成本!O26</f>
        <v>0</v>
      </c>
      <c r="O33" s="81">
        <f>材料成本!P26</f>
        <v>0</v>
      </c>
      <c r="P33" s="81">
        <f>材料成本!Q26</f>
        <v>0</v>
      </c>
      <c r="Q33" s="81">
        <f>材料成本!R26</f>
        <v>0</v>
      </c>
      <c r="R33" s="81">
        <f>材料成本!S26</f>
        <v>0</v>
      </c>
      <c r="S33" s="89"/>
      <c r="U33" s="2"/>
      <c r="V33" s="2"/>
      <c r="W33" s="2"/>
      <c r="X33" s="2"/>
      <c r="Y33" s="2"/>
      <c r="Z33" s="2"/>
      <c r="AS33" s="78" t="s">
        <v>55</v>
      </c>
      <c r="AT33" s="78" t="s">
        <v>99</v>
      </c>
    </row>
    <row r="34" spans="1:46" ht="17.25" customHeight="1">
      <c r="A34" s="75">
        <v>4</v>
      </c>
      <c r="B34" s="78" t="s">
        <v>101</v>
      </c>
      <c r="C34" s="94">
        <f>C32-C33</f>
        <v>94.276710255756228</v>
      </c>
      <c r="D34" s="94">
        <f>D32-D33</f>
        <v>82.248581612404564</v>
      </c>
      <c r="E34" s="94" t="e">
        <f t="shared" ref="E34:F34" si="41">E32-E33</f>
        <v>#DIV/0!</v>
      </c>
      <c r="F34" s="94" t="e">
        <f t="shared" si="41"/>
        <v>#DIV/0!</v>
      </c>
      <c r="G34" s="94" t="e">
        <f t="shared" ref="G34:R34" si="42">G32-G33</f>
        <v>#DIV/0!</v>
      </c>
      <c r="H34" s="94" t="e">
        <f t="shared" si="42"/>
        <v>#DIV/0!</v>
      </c>
      <c r="I34" s="94" t="e">
        <f t="shared" si="42"/>
        <v>#DIV/0!</v>
      </c>
      <c r="J34" s="94" t="e">
        <f t="shared" si="42"/>
        <v>#DIV/0!</v>
      </c>
      <c r="K34" s="94" t="e">
        <f t="shared" si="42"/>
        <v>#DIV/0!</v>
      </c>
      <c r="L34" s="94" t="e">
        <f t="shared" si="42"/>
        <v>#DIV/0!</v>
      </c>
      <c r="M34" s="94" t="e">
        <f t="shared" si="42"/>
        <v>#DIV/0!</v>
      </c>
      <c r="N34" s="94" t="e">
        <f t="shared" si="42"/>
        <v>#DIV/0!</v>
      </c>
      <c r="O34" s="94" t="e">
        <f t="shared" si="42"/>
        <v>#DIV/0!</v>
      </c>
      <c r="P34" s="94" t="e">
        <f t="shared" si="42"/>
        <v>#DIV/0!</v>
      </c>
      <c r="Q34" s="94" t="e">
        <f t="shared" si="42"/>
        <v>#DIV/0!</v>
      </c>
      <c r="R34" s="94" t="e">
        <f t="shared" si="42"/>
        <v>#DIV/0!</v>
      </c>
      <c r="S34" s="89"/>
      <c r="U34" s="2"/>
      <c r="V34" s="2"/>
      <c r="W34" s="2"/>
      <c r="X34" s="2"/>
      <c r="Y34" s="2"/>
      <c r="Z34" s="2"/>
      <c r="AS34" s="78" t="s">
        <v>100</v>
      </c>
      <c r="AT34" s="78" t="s">
        <v>101</v>
      </c>
    </row>
    <row r="35" spans="1:46">
      <c r="A35" s="78" t="s">
        <v>97</v>
      </c>
      <c r="B35" s="83" t="s">
        <v>9</v>
      </c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2"/>
      <c r="U35" s="2"/>
      <c r="V35" s="2"/>
      <c r="W35" s="2"/>
      <c r="X35" s="2"/>
      <c r="Y35" s="2"/>
      <c r="Z35" s="2"/>
      <c r="AA35" s="2"/>
      <c r="AB35" s="2"/>
      <c r="AC35" s="2"/>
      <c r="AS35" s="78" t="s">
        <v>103</v>
      </c>
      <c r="AT35" s="83" t="s">
        <v>9</v>
      </c>
    </row>
    <row r="36" spans="1:46">
      <c r="A36" s="75">
        <v>1</v>
      </c>
      <c r="B36" s="78" t="s">
        <v>104</v>
      </c>
      <c r="C36" s="87">
        <f>'2026年'!C36</f>
        <v>25.077604928031157</v>
      </c>
      <c r="D36" s="87">
        <f>'2026年'!D36</f>
        <v>21.878122708899607</v>
      </c>
      <c r="E36" s="87">
        <f>'2026年'!E36</f>
        <v>0</v>
      </c>
      <c r="F36" s="87">
        <f>'2026年'!F36</f>
        <v>0</v>
      </c>
      <c r="G36" s="87">
        <f>'2026年'!G36</f>
        <v>0</v>
      </c>
      <c r="H36" s="87">
        <f>'2026年'!H36</f>
        <v>0</v>
      </c>
      <c r="I36" s="87">
        <f>'2026年'!I36</f>
        <v>0</v>
      </c>
      <c r="J36" s="87">
        <f>'2026年'!J36</f>
        <v>0</v>
      </c>
      <c r="K36" s="87">
        <f>'2026年'!K36</f>
        <v>0</v>
      </c>
      <c r="L36" s="87">
        <f>'2026年'!L36</f>
        <v>0</v>
      </c>
      <c r="M36" s="87">
        <f>'2026年'!M36</f>
        <v>0</v>
      </c>
      <c r="N36" s="87">
        <f>'2026年'!N36</f>
        <v>0</v>
      </c>
      <c r="O36" s="87">
        <f>'2026年'!O36</f>
        <v>0</v>
      </c>
      <c r="P36" s="87">
        <f>'2026年'!P36</f>
        <v>0</v>
      </c>
      <c r="Q36" s="87">
        <f>'2026年'!Q36</f>
        <v>0</v>
      </c>
      <c r="R36" s="87">
        <f>'2026年'!R36</f>
        <v>0</v>
      </c>
      <c r="S36" s="93"/>
      <c r="T36" s="2"/>
      <c r="U36" s="2"/>
      <c r="V36" s="2"/>
      <c r="W36" s="2"/>
      <c r="X36" s="2"/>
      <c r="Y36" s="2"/>
      <c r="Z36" s="2"/>
      <c r="AA36" s="2"/>
      <c r="AB36" s="2"/>
      <c r="AC36" s="2"/>
      <c r="AS36" s="78" t="s">
        <v>100</v>
      </c>
      <c r="AT36" s="78" t="s">
        <v>104</v>
      </c>
    </row>
    <row r="37" spans="1:46">
      <c r="A37" s="75">
        <v>2</v>
      </c>
      <c r="B37" s="78" t="s">
        <v>105</v>
      </c>
      <c r="C37" s="87">
        <f>'2026年'!C37</f>
        <v>16.498424294757342</v>
      </c>
      <c r="D37" s="87">
        <f>'2026年'!D37</f>
        <v>14.393501782170796</v>
      </c>
      <c r="E37" s="87">
        <f>'2026年'!E37</f>
        <v>0</v>
      </c>
      <c r="F37" s="87">
        <f>'2026年'!F37</f>
        <v>0</v>
      </c>
      <c r="G37" s="87">
        <f>'2026年'!G37</f>
        <v>0</v>
      </c>
      <c r="H37" s="87">
        <f>'2026年'!H37</f>
        <v>0</v>
      </c>
      <c r="I37" s="87">
        <f>'2026年'!I37</f>
        <v>0</v>
      </c>
      <c r="J37" s="87">
        <f>'2026年'!J37</f>
        <v>0</v>
      </c>
      <c r="K37" s="87">
        <f>'2026年'!K37</f>
        <v>0</v>
      </c>
      <c r="L37" s="87">
        <f>'2026年'!L37</f>
        <v>0</v>
      </c>
      <c r="M37" s="87">
        <f>'2026年'!M37</f>
        <v>0</v>
      </c>
      <c r="N37" s="87">
        <f>'2026年'!N37</f>
        <v>0</v>
      </c>
      <c r="O37" s="87">
        <f>'2026年'!O37</f>
        <v>0</v>
      </c>
      <c r="P37" s="87">
        <f>'2026年'!P37</f>
        <v>0</v>
      </c>
      <c r="Q37" s="87">
        <f>'2026年'!Q37</f>
        <v>0</v>
      </c>
      <c r="R37" s="87">
        <f>'2026年'!R37</f>
        <v>0</v>
      </c>
      <c r="S37" s="93"/>
      <c r="T37" s="2"/>
      <c r="U37" s="2"/>
      <c r="V37" s="2"/>
      <c r="W37" s="2"/>
      <c r="X37" s="2"/>
      <c r="Y37" s="2"/>
      <c r="Z37" s="2"/>
      <c r="AA37" s="2"/>
      <c r="AB37" s="2"/>
      <c r="AC37" s="2"/>
      <c r="AS37" s="78" t="s">
        <v>58</v>
      </c>
      <c r="AT37" s="78" t="s">
        <v>105</v>
      </c>
    </row>
    <row r="38" spans="1:46">
      <c r="A38" s="75">
        <v>3</v>
      </c>
      <c r="B38" s="78" t="s">
        <v>106</v>
      </c>
      <c r="C38" s="87">
        <f>'2026年'!C38</f>
        <v>7.3535833999489846</v>
      </c>
      <c r="D38" s="87">
        <f>'2026年'!D38</f>
        <v>6.4153893657675543</v>
      </c>
      <c r="E38" s="87">
        <f>'2026年'!E38</f>
        <v>0</v>
      </c>
      <c r="F38" s="87">
        <f>'2026年'!F38</f>
        <v>0</v>
      </c>
      <c r="G38" s="87">
        <f>'2026年'!G38</f>
        <v>0</v>
      </c>
      <c r="H38" s="87">
        <f>'2026年'!H38</f>
        <v>0</v>
      </c>
      <c r="I38" s="87">
        <f>'2026年'!I38</f>
        <v>0</v>
      </c>
      <c r="J38" s="87">
        <f>'2026年'!J38</f>
        <v>0</v>
      </c>
      <c r="K38" s="87">
        <f>'2026年'!K38</f>
        <v>0</v>
      </c>
      <c r="L38" s="87">
        <f>'2026年'!L38</f>
        <v>0</v>
      </c>
      <c r="M38" s="87">
        <f>'2026年'!M38</f>
        <v>0</v>
      </c>
      <c r="N38" s="87">
        <f>'2026年'!N38</f>
        <v>0</v>
      </c>
      <c r="O38" s="87">
        <f>'2026年'!O38</f>
        <v>0</v>
      </c>
      <c r="P38" s="87">
        <f>'2026年'!P38</f>
        <v>0</v>
      </c>
      <c r="Q38" s="87">
        <f>'2026年'!Q38</f>
        <v>0</v>
      </c>
      <c r="R38" s="87">
        <f>'2026年'!R38</f>
        <v>0</v>
      </c>
      <c r="S38" s="93"/>
      <c r="T38" s="2"/>
      <c r="U38" s="2"/>
      <c r="V38" s="2"/>
      <c r="W38" s="2"/>
      <c r="X38" s="2"/>
      <c r="Y38" s="2"/>
      <c r="Z38" s="2"/>
      <c r="AA38" s="2"/>
      <c r="AB38" s="2"/>
      <c r="AC38" s="2"/>
      <c r="AS38" s="78" t="s">
        <v>64</v>
      </c>
      <c r="AT38" s="78" t="s">
        <v>106</v>
      </c>
    </row>
    <row r="39" spans="1:46">
      <c r="A39" s="78" t="s">
        <v>103</v>
      </c>
      <c r="B39" s="83" t="s">
        <v>108</v>
      </c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AS39" s="78" t="s">
        <v>107</v>
      </c>
      <c r="AT39" s="83" t="s">
        <v>108</v>
      </c>
    </row>
    <row r="40" spans="1:46">
      <c r="A40" s="75">
        <v>1</v>
      </c>
      <c r="B40" s="78" t="s">
        <v>109</v>
      </c>
      <c r="C40" s="89">
        <f>C34-C36-C37-C38</f>
        <v>45.347097633018748</v>
      </c>
      <c r="D40" s="89">
        <f>D34-D36-D37-D38</f>
        <v>39.561567755566607</v>
      </c>
      <c r="E40" s="89" t="e">
        <f t="shared" ref="E40:F40" si="43">E34-E36-E37-E38</f>
        <v>#DIV/0!</v>
      </c>
      <c r="F40" s="89" t="e">
        <f t="shared" si="43"/>
        <v>#DIV/0!</v>
      </c>
      <c r="G40" s="89" t="e">
        <f t="shared" ref="G40:R40" si="44">G34-G36-G37-G38</f>
        <v>#DIV/0!</v>
      </c>
      <c r="H40" s="89" t="e">
        <f t="shared" si="44"/>
        <v>#DIV/0!</v>
      </c>
      <c r="I40" s="89" t="e">
        <f t="shared" si="44"/>
        <v>#DIV/0!</v>
      </c>
      <c r="J40" s="89" t="e">
        <f t="shared" si="44"/>
        <v>#DIV/0!</v>
      </c>
      <c r="K40" s="89" t="e">
        <f t="shared" si="44"/>
        <v>#DIV/0!</v>
      </c>
      <c r="L40" s="89" t="e">
        <f t="shared" si="44"/>
        <v>#DIV/0!</v>
      </c>
      <c r="M40" s="89" t="e">
        <f t="shared" si="44"/>
        <v>#DIV/0!</v>
      </c>
      <c r="N40" s="89" t="e">
        <f t="shared" si="44"/>
        <v>#DIV/0!</v>
      </c>
      <c r="O40" s="89" t="e">
        <f t="shared" si="44"/>
        <v>#DIV/0!</v>
      </c>
      <c r="P40" s="89" t="e">
        <f t="shared" si="44"/>
        <v>#DIV/0!</v>
      </c>
      <c r="Q40" s="89" t="e">
        <f t="shared" si="44"/>
        <v>#DIV/0!</v>
      </c>
      <c r="R40" s="89" t="e">
        <f t="shared" si="44"/>
        <v>#DIV/0!</v>
      </c>
      <c r="S40" s="89"/>
      <c r="AS40" s="78" t="s">
        <v>53</v>
      </c>
      <c r="AT40" s="78" t="s">
        <v>109</v>
      </c>
    </row>
    <row r="41" spans="1:46">
      <c r="A41" s="75">
        <v>2</v>
      </c>
      <c r="B41" s="78" t="s">
        <v>110</v>
      </c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AS41" s="78" t="s">
        <v>55</v>
      </c>
      <c r="AT41" s="78" t="s">
        <v>110</v>
      </c>
    </row>
    <row r="42" spans="1:46">
      <c r="A42" s="78" t="s">
        <v>107</v>
      </c>
      <c r="B42" s="83" t="s">
        <v>112</v>
      </c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AS42" s="78" t="s">
        <v>111</v>
      </c>
      <c r="AT42" s="83" t="s">
        <v>112</v>
      </c>
    </row>
    <row r="43" spans="1:46">
      <c r="A43" s="75">
        <v>1</v>
      </c>
      <c r="B43" s="90" t="s">
        <v>113</v>
      </c>
      <c r="C43" s="87">
        <f>'2026年'!C43</f>
        <v>19.892385863964563</v>
      </c>
      <c r="D43" s="87">
        <f>'2026年'!D43</f>
        <v>17.354450720217358</v>
      </c>
      <c r="E43" s="87">
        <f>'2026年'!E43</f>
        <v>0</v>
      </c>
      <c r="F43" s="87">
        <f>'2026年'!F43</f>
        <v>0</v>
      </c>
      <c r="G43" s="87">
        <f>'2026年'!G43</f>
        <v>0</v>
      </c>
      <c r="H43" s="87">
        <f>'2026年'!H43</f>
        <v>0</v>
      </c>
      <c r="I43" s="87">
        <f>'2026年'!I43</f>
        <v>0</v>
      </c>
      <c r="J43" s="87">
        <f>'2026年'!J43</f>
        <v>0</v>
      </c>
      <c r="K43" s="87">
        <f>'2026年'!K43</f>
        <v>0</v>
      </c>
      <c r="L43" s="87">
        <f>'2026年'!L43</f>
        <v>0</v>
      </c>
      <c r="M43" s="87">
        <f>'2026年'!M43</f>
        <v>0</v>
      </c>
      <c r="N43" s="87">
        <f>'2026年'!N43</f>
        <v>0</v>
      </c>
      <c r="O43" s="87">
        <f>'2026年'!O43</f>
        <v>0</v>
      </c>
      <c r="P43" s="87">
        <f>'2026年'!P43</f>
        <v>0</v>
      </c>
      <c r="Q43" s="87">
        <f>'2026年'!Q43</f>
        <v>0</v>
      </c>
      <c r="R43" s="87">
        <f>'2026年'!R43</f>
        <v>0</v>
      </c>
      <c r="S43" s="89"/>
      <c r="AS43" s="78" t="s">
        <v>53</v>
      </c>
      <c r="AT43" s="78" t="s">
        <v>113</v>
      </c>
    </row>
    <row r="44" spans="1:46">
      <c r="A44" s="75">
        <v>2</v>
      </c>
      <c r="B44" s="90" t="s">
        <v>114</v>
      </c>
      <c r="C44" s="87">
        <f>'2026年'!C44</f>
        <v>0</v>
      </c>
      <c r="D44" s="87">
        <f>'2026年'!D44</f>
        <v>0</v>
      </c>
      <c r="E44" s="87">
        <f>'2026年'!E44</f>
        <v>0</v>
      </c>
      <c r="F44" s="87">
        <f>'2026年'!F44</f>
        <v>0</v>
      </c>
      <c r="G44" s="87">
        <f>'2026年'!G44</f>
        <v>0</v>
      </c>
      <c r="H44" s="87">
        <f>'2026年'!H44</f>
        <v>0</v>
      </c>
      <c r="I44" s="87">
        <f>'2026年'!I44</f>
        <v>0</v>
      </c>
      <c r="J44" s="87">
        <f>'2026年'!J44</f>
        <v>0</v>
      </c>
      <c r="K44" s="87">
        <f>'2026年'!K44</f>
        <v>0</v>
      </c>
      <c r="L44" s="87">
        <f>'2026年'!L44</f>
        <v>0</v>
      </c>
      <c r="M44" s="87">
        <f>'2026年'!M44</f>
        <v>0</v>
      </c>
      <c r="N44" s="87">
        <f>'2026年'!N44</f>
        <v>0</v>
      </c>
      <c r="O44" s="87">
        <f>'2026年'!O44</f>
        <v>0</v>
      </c>
      <c r="P44" s="87">
        <f>'2026年'!P44</f>
        <v>0</v>
      </c>
      <c r="Q44" s="87">
        <f>'2026年'!Q44</f>
        <v>0</v>
      </c>
      <c r="R44" s="87">
        <f>'2026年'!R44</f>
        <v>0</v>
      </c>
      <c r="S44" s="89"/>
      <c r="AS44" s="78" t="s">
        <v>55</v>
      </c>
      <c r="AT44" s="78" t="s">
        <v>114</v>
      </c>
    </row>
    <row r="45" spans="1:46">
      <c r="A45" s="75">
        <v>3</v>
      </c>
      <c r="B45" s="90" t="s">
        <v>115</v>
      </c>
      <c r="C45" s="87">
        <f>'2026年'!C45</f>
        <v>1.5398529341773517</v>
      </c>
      <c r="D45" s="87">
        <f>'2026年'!D45</f>
        <v>1.3433934996692742</v>
      </c>
      <c r="E45" s="87">
        <f>'2026年'!E45</f>
        <v>0</v>
      </c>
      <c r="F45" s="87">
        <f>'2026年'!F45</f>
        <v>0</v>
      </c>
      <c r="G45" s="87">
        <f>'2026年'!G45</f>
        <v>0</v>
      </c>
      <c r="H45" s="87">
        <f>'2026年'!H45</f>
        <v>0</v>
      </c>
      <c r="I45" s="87">
        <f>'2026年'!I45</f>
        <v>0</v>
      </c>
      <c r="J45" s="87">
        <f>'2026年'!J45</f>
        <v>0</v>
      </c>
      <c r="K45" s="87">
        <f>'2026年'!K45</f>
        <v>0</v>
      </c>
      <c r="L45" s="87">
        <f>'2026年'!L45</f>
        <v>0</v>
      </c>
      <c r="M45" s="87">
        <f>'2026年'!M45</f>
        <v>0</v>
      </c>
      <c r="N45" s="87">
        <f>'2026年'!N45</f>
        <v>0</v>
      </c>
      <c r="O45" s="87">
        <f>'2026年'!O45</f>
        <v>0</v>
      </c>
      <c r="P45" s="87">
        <f>'2026年'!P45</f>
        <v>0</v>
      </c>
      <c r="Q45" s="87">
        <f>'2026年'!Q45</f>
        <v>0</v>
      </c>
      <c r="R45" s="87">
        <f>'2026年'!R45</f>
        <v>0</v>
      </c>
      <c r="S45" s="89"/>
      <c r="AS45" s="78" t="s">
        <v>100</v>
      </c>
      <c r="AT45" s="78" t="s">
        <v>115</v>
      </c>
    </row>
    <row r="46" spans="1:46" s="73" customFormat="1">
      <c r="A46" s="75">
        <v>4</v>
      </c>
      <c r="B46" s="90" t="s">
        <v>116</v>
      </c>
      <c r="C46" s="95">
        <f>C21/C6</f>
        <v>0.5</v>
      </c>
      <c r="D46" s="95">
        <f>D21/D6</f>
        <v>0.5</v>
      </c>
      <c r="E46" s="95" t="e">
        <f t="shared" ref="E46:F46" si="45">E21/E6</f>
        <v>#DIV/0!</v>
      </c>
      <c r="F46" s="95" t="e">
        <f t="shared" si="45"/>
        <v>#DIV/0!</v>
      </c>
      <c r="G46" s="95" t="e">
        <f t="shared" ref="G46:R46" si="46">G21/G6</f>
        <v>#DIV/0!</v>
      </c>
      <c r="H46" s="95" t="e">
        <f t="shared" si="46"/>
        <v>#DIV/0!</v>
      </c>
      <c r="I46" s="95" t="e">
        <f t="shared" si="46"/>
        <v>#DIV/0!</v>
      </c>
      <c r="J46" s="95" t="e">
        <f t="shared" si="46"/>
        <v>#DIV/0!</v>
      </c>
      <c r="K46" s="95" t="e">
        <f t="shared" si="46"/>
        <v>#DIV/0!</v>
      </c>
      <c r="L46" s="95" t="e">
        <f t="shared" si="46"/>
        <v>#DIV/0!</v>
      </c>
      <c r="M46" s="95" t="e">
        <f t="shared" si="46"/>
        <v>#DIV/0!</v>
      </c>
      <c r="N46" s="95" t="e">
        <f t="shared" si="46"/>
        <v>#DIV/0!</v>
      </c>
      <c r="O46" s="95" t="e">
        <f t="shared" si="46"/>
        <v>#DIV/0!</v>
      </c>
      <c r="P46" s="95" t="e">
        <f t="shared" si="46"/>
        <v>#DIV/0!</v>
      </c>
      <c r="Q46" s="95" t="e">
        <f t="shared" si="46"/>
        <v>#DIV/0!</v>
      </c>
      <c r="R46" s="95" t="e">
        <f t="shared" si="46"/>
        <v>#DIV/0!</v>
      </c>
      <c r="S46" s="95"/>
      <c r="AS46" s="90" t="s">
        <v>60</v>
      </c>
      <c r="AT46" s="90" t="s">
        <v>118</v>
      </c>
    </row>
    <row r="47" spans="1:46" s="73" customFormat="1">
      <c r="A47" s="75">
        <v>5</v>
      </c>
      <c r="B47" s="90" t="s">
        <v>118</v>
      </c>
      <c r="C47" s="87">
        <f>'2026年'!C47</f>
        <v>11.690312071713771</v>
      </c>
      <c r="D47" s="87">
        <f>'2026年'!D47</f>
        <v>10.198824119938163</v>
      </c>
      <c r="E47" s="87">
        <f>'2026年'!E47</f>
        <v>0</v>
      </c>
      <c r="F47" s="87">
        <f>'2026年'!F47</f>
        <v>0</v>
      </c>
      <c r="G47" s="87">
        <f>'2026年'!G47</f>
        <v>0</v>
      </c>
      <c r="H47" s="87">
        <f>'2026年'!H47</f>
        <v>0</v>
      </c>
      <c r="I47" s="87">
        <f>'2026年'!I47</f>
        <v>0</v>
      </c>
      <c r="J47" s="87">
        <f>'2026年'!J47</f>
        <v>0</v>
      </c>
      <c r="K47" s="87">
        <f>'2026年'!K47</f>
        <v>0</v>
      </c>
      <c r="L47" s="87">
        <f>'2026年'!L47</f>
        <v>0</v>
      </c>
      <c r="M47" s="87">
        <f>'2026年'!M47</f>
        <v>0</v>
      </c>
      <c r="N47" s="87">
        <f>'2026年'!N47</f>
        <v>0</v>
      </c>
      <c r="O47" s="87">
        <f>'2026年'!O47</f>
        <v>0</v>
      </c>
      <c r="P47" s="87">
        <f>'2026年'!P47</f>
        <v>0</v>
      </c>
      <c r="Q47" s="87">
        <f>'2026年'!Q47</f>
        <v>0</v>
      </c>
      <c r="R47" s="87">
        <f>'2026年'!R47</f>
        <v>0</v>
      </c>
      <c r="S47" s="95"/>
      <c r="AS47" s="90" t="s">
        <v>60</v>
      </c>
      <c r="AT47" s="90" t="s">
        <v>118</v>
      </c>
    </row>
    <row r="48" spans="1:46">
      <c r="A48" s="78" t="s">
        <v>111</v>
      </c>
      <c r="B48" s="83" t="s">
        <v>129</v>
      </c>
      <c r="C48" s="89">
        <f>C40-C43-C44-C45-C47-C46</f>
        <v>11.724546763163064</v>
      </c>
      <c r="D48" s="89">
        <f>D40-D43-D44-D45-D47-D46</f>
        <v>10.164899415741811</v>
      </c>
      <c r="E48" s="89" t="e">
        <f t="shared" ref="E48:F48" si="47">E40-E43-E44-E45-E47-E46</f>
        <v>#DIV/0!</v>
      </c>
      <c r="F48" s="89" t="e">
        <f t="shared" si="47"/>
        <v>#DIV/0!</v>
      </c>
      <c r="G48" s="89" t="e">
        <f t="shared" ref="G48:R48" si="48">G40-G43-G44-G45-G47-G46</f>
        <v>#DIV/0!</v>
      </c>
      <c r="H48" s="89" t="e">
        <f t="shared" si="48"/>
        <v>#DIV/0!</v>
      </c>
      <c r="I48" s="89" t="e">
        <f t="shared" si="48"/>
        <v>#DIV/0!</v>
      </c>
      <c r="J48" s="89" t="e">
        <f t="shared" si="48"/>
        <v>#DIV/0!</v>
      </c>
      <c r="K48" s="89" t="e">
        <f t="shared" si="48"/>
        <v>#DIV/0!</v>
      </c>
      <c r="L48" s="89" t="e">
        <f t="shared" si="48"/>
        <v>#DIV/0!</v>
      </c>
      <c r="M48" s="89" t="e">
        <f t="shared" si="48"/>
        <v>#DIV/0!</v>
      </c>
      <c r="N48" s="89" t="e">
        <f t="shared" si="48"/>
        <v>#DIV/0!</v>
      </c>
      <c r="O48" s="89" t="e">
        <f t="shared" si="48"/>
        <v>#DIV/0!</v>
      </c>
      <c r="P48" s="89" t="e">
        <f t="shared" si="48"/>
        <v>#DIV/0!</v>
      </c>
      <c r="Q48" s="89" t="e">
        <f t="shared" si="48"/>
        <v>#DIV/0!</v>
      </c>
      <c r="R48" s="89" t="e">
        <f t="shared" si="48"/>
        <v>#DIV/0!</v>
      </c>
      <c r="S48" s="89"/>
      <c r="AS48" s="78" t="s">
        <v>128</v>
      </c>
      <c r="AT48" s="83" t="s">
        <v>129</v>
      </c>
    </row>
    <row r="51" spans="2:24"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</row>
    <row r="54" spans="2:24">
      <c r="B54" s="2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2"/>
      <c r="U54" s="2"/>
      <c r="V54" s="2"/>
      <c r="W54" s="2"/>
      <c r="X54" s="2"/>
    </row>
    <row r="55" spans="2:24">
      <c r="B55" s="2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2"/>
      <c r="U55" s="2"/>
      <c r="V55" s="2"/>
      <c r="W55" s="2"/>
      <c r="X55" s="2"/>
    </row>
    <row r="56" spans="2:24">
      <c r="B56" s="2"/>
      <c r="C56" s="97"/>
      <c r="D56" s="97"/>
      <c r="E56" s="97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2"/>
      <c r="U56" s="2"/>
      <c r="V56" s="2"/>
      <c r="W56" s="2"/>
      <c r="X56" s="2"/>
    </row>
    <row r="57" spans="2:24">
      <c r="B57" s="2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2"/>
      <c r="U57" s="2"/>
      <c r="V57" s="2"/>
      <c r="W57" s="2"/>
      <c r="X57" s="2"/>
    </row>
    <row r="58" spans="2:24">
      <c r="B58" s="2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2"/>
      <c r="U58" s="2"/>
      <c r="V58" s="2"/>
      <c r="W58" s="2"/>
      <c r="X58" s="2"/>
    </row>
    <row r="59" spans="2:24">
      <c r="B59" s="2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2"/>
      <c r="U59" s="2"/>
      <c r="V59" s="2"/>
      <c r="W59" s="2"/>
      <c r="X59" s="2"/>
    </row>
    <row r="60" spans="2:24">
      <c r="B60" s="2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2"/>
      <c r="U60" s="2"/>
      <c r="V60" s="2"/>
      <c r="W60" s="2"/>
      <c r="X60" s="2"/>
    </row>
    <row r="61" spans="2:24">
      <c r="B61" s="2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2"/>
      <c r="U61" s="2"/>
      <c r="V61" s="2"/>
      <c r="W61" s="2"/>
      <c r="X61" s="2"/>
    </row>
    <row r="62" spans="2:24">
      <c r="B62" s="2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2"/>
      <c r="U62" s="2"/>
      <c r="V62" s="2"/>
      <c r="W62" s="2"/>
      <c r="X62" s="2"/>
    </row>
    <row r="63" spans="2:24">
      <c r="B63" s="2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2"/>
      <c r="U63" s="2"/>
      <c r="V63" s="2"/>
      <c r="W63" s="2"/>
      <c r="X63" s="2"/>
    </row>
    <row r="64" spans="2:24">
      <c r="B64" s="2"/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2"/>
      <c r="U64" s="2"/>
      <c r="V64" s="2"/>
      <c r="W64" s="2"/>
      <c r="X64" s="2"/>
    </row>
    <row r="65" spans="2:24">
      <c r="B65" s="2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2"/>
      <c r="U65" s="2"/>
      <c r="V65" s="2"/>
      <c r="W65" s="2"/>
      <c r="X65" s="2"/>
    </row>
    <row r="66" spans="2:24">
      <c r="B66" s="2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2"/>
      <c r="U66" s="2"/>
      <c r="V66" s="2"/>
      <c r="W66" s="2"/>
      <c r="X66" s="2"/>
    </row>
    <row r="67" spans="2:24">
      <c r="B67" s="2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2"/>
    </row>
    <row r="68" spans="2:24">
      <c r="B68" s="2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2"/>
    </row>
    <row r="69" spans="2:24">
      <c r="B69" s="2"/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2"/>
    </row>
    <row r="70" spans="2:24">
      <c r="B70" s="2"/>
      <c r="C70" s="97"/>
      <c r="D70" s="97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2"/>
    </row>
    <row r="71" spans="2:24">
      <c r="B71" s="2"/>
      <c r="C71" s="97"/>
      <c r="D71" s="97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2"/>
    </row>
    <row r="72" spans="2:24">
      <c r="B72" s="2"/>
      <c r="C72" s="97"/>
      <c r="D72" s="97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2"/>
    </row>
    <row r="73" spans="2:24">
      <c r="B73" s="2"/>
      <c r="C73" s="97"/>
      <c r="D73" s="97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2"/>
    </row>
    <row r="74" spans="2:24">
      <c r="B74" s="2"/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2"/>
    </row>
  </sheetData>
  <mergeCells count="8">
    <mergeCell ref="A4:B4"/>
    <mergeCell ref="A5:B5"/>
    <mergeCell ref="S3:S5"/>
    <mergeCell ref="A1:B1"/>
    <mergeCell ref="C1:S1"/>
    <mergeCell ref="A2:B2"/>
    <mergeCell ref="C2:S2"/>
    <mergeCell ref="A3:B3"/>
  </mergeCells>
  <phoneticPr fontId="45" type="noConversion"/>
  <printOptions horizontalCentered="1"/>
  <pageMargins left="0.39370078740157499" right="0.31496062992126" top="0.35433070866141703" bottom="0.15748031496063" header="0.31496062992126" footer="0.31496062992126"/>
  <pageSetup paperSize="9" orientation="landscape"/>
  <rowBreaks count="1" manualBreakCount="1">
    <brk id="28" max="4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74"/>
  <sheetViews>
    <sheetView zoomScale="85" zoomScaleNormal="85" workbookViewId="0">
      <pane xSplit="2" ySplit="7" topLeftCell="C8" activePane="bottomRight" state="frozen"/>
      <selection pane="topRight"/>
      <selection pane="bottomLeft"/>
      <selection pane="bottomRight" activeCell="C2" sqref="C2:S2"/>
    </sheetView>
  </sheetViews>
  <sheetFormatPr defaultColWidth="9" defaultRowHeight="16.5"/>
  <cols>
    <col min="1" max="1" width="5.125" style="71" customWidth="1"/>
    <col min="2" max="2" width="17.5" style="71" customWidth="1"/>
    <col min="3" max="18" width="14.375" style="74" customWidth="1"/>
    <col min="19" max="19" width="18.75" style="74" customWidth="1"/>
    <col min="20" max="20" width="12.375" style="71" customWidth="1"/>
    <col min="21" max="21" width="10.125" style="71" customWidth="1"/>
    <col min="22" max="28" width="9" style="71" customWidth="1"/>
    <col min="29" max="44" width="9" style="71"/>
    <col min="45" max="45" width="4.375" style="71" customWidth="1"/>
    <col min="46" max="46" width="13.875" style="71" customWidth="1"/>
    <col min="47" max="16384" width="9" style="71"/>
  </cols>
  <sheetData>
    <row r="1" spans="1:47">
      <c r="A1" s="241" t="s">
        <v>139</v>
      </c>
      <c r="B1" s="241"/>
      <c r="C1" s="245" t="s">
        <v>255</v>
      </c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7"/>
    </row>
    <row r="2" spans="1:47">
      <c r="A2" s="241" t="s">
        <v>140</v>
      </c>
      <c r="B2" s="241"/>
      <c r="C2" s="248" t="str">
        <f>'2026年'!$C$2</f>
        <v>光华海外工厂——戴姆勒卡车集团DTAG</v>
      </c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</row>
    <row r="3" spans="1:47" ht="22.5">
      <c r="A3" s="241" t="s">
        <v>141</v>
      </c>
      <c r="B3" s="241"/>
      <c r="C3" s="76" t="str">
        <f>'2026年'!C3</f>
        <v>3.0海外出口配件靠背骨架-电动</v>
      </c>
      <c r="D3" s="76" t="str">
        <f>'2026年'!D3</f>
        <v>3.0海外出口配件靠背骨架-手动</v>
      </c>
      <c r="E3" s="76">
        <f>'2026年'!E3</f>
        <v>0</v>
      </c>
      <c r="F3" s="76">
        <f>'2026年'!F3</f>
        <v>0</v>
      </c>
      <c r="G3" s="76">
        <f>'2026年'!G3</f>
        <v>0</v>
      </c>
      <c r="H3" s="76">
        <f>'2026年'!H3</f>
        <v>0</v>
      </c>
      <c r="I3" s="76">
        <f>'2026年'!I3</f>
        <v>0</v>
      </c>
      <c r="J3" s="76">
        <f>'2026年'!J3</f>
        <v>0</v>
      </c>
      <c r="K3" s="76">
        <f>'2026年'!K3</f>
        <v>0</v>
      </c>
      <c r="L3" s="76">
        <f>'2026年'!L3</f>
        <v>0</v>
      </c>
      <c r="M3" s="76">
        <f>'2026年'!M3</f>
        <v>0</v>
      </c>
      <c r="N3" s="76">
        <f>'2026年'!N3</f>
        <v>0</v>
      </c>
      <c r="O3" s="76">
        <f>'2026年'!O3</f>
        <v>0</v>
      </c>
      <c r="P3" s="76">
        <f>'2026年'!P3</f>
        <v>0</v>
      </c>
      <c r="Q3" s="76">
        <f>'2026年'!Q3</f>
        <v>0</v>
      </c>
      <c r="R3" s="76">
        <f>'2026年'!R3</f>
        <v>0</v>
      </c>
      <c r="S3" s="242" t="s">
        <v>49</v>
      </c>
    </row>
    <row r="4" spans="1:47">
      <c r="A4" s="241" t="s">
        <v>142</v>
      </c>
      <c r="B4" s="241"/>
      <c r="C4" s="76" t="str">
        <f>'2026年'!C4</f>
        <v>/</v>
      </c>
      <c r="D4" s="76" t="str">
        <f>'2026年'!D4</f>
        <v>/</v>
      </c>
      <c r="E4" s="76">
        <f>'2026年'!E4</f>
        <v>0</v>
      </c>
      <c r="F4" s="76">
        <f>'2026年'!F4</f>
        <v>0</v>
      </c>
      <c r="G4" s="76">
        <f>'2026年'!G4</f>
        <v>0</v>
      </c>
      <c r="H4" s="76">
        <f>'2026年'!H4</f>
        <v>0</v>
      </c>
      <c r="I4" s="76">
        <f>'2026年'!I4</f>
        <v>0</v>
      </c>
      <c r="J4" s="76">
        <f>'2026年'!J4</f>
        <v>0</v>
      </c>
      <c r="K4" s="76">
        <f>'2026年'!K4</f>
        <v>0</v>
      </c>
      <c r="L4" s="76">
        <f>'2026年'!L4</f>
        <v>0</v>
      </c>
      <c r="M4" s="76">
        <f>'2026年'!M4</f>
        <v>0</v>
      </c>
      <c r="N4" s="76">
        <f>'2026年'!N4</f>
        <v>0</v>
      </c>
      <c r="O4" s="76">
        <f>'2026年'!O4</f>
        <v>0</v>
      </c>
      <c r="P4" s="76">
        <f>'2026年'!P4</f>
        <v>0</v>
      </c>
      <c r="Q4" s="76">
        <f>'2026年'!Q4</f>
        <v>0</v>
      </c>
      <c r="R4" s="76">
        <f>'2026年'!R4</f>
        <v>0</v>
      </c>
      <c r="S4" s="243"/>
    </row>
    <row r="5" spans="1:47" ht="28.5">
      <c r="A5" s="241" t="s">
        <v>143</v>
      </c>
      <c r="B5" s="241"/>
      <c r="C5" s="77" t="str">
        <f>'2026年'!C5</f>
        <v>肩部折叠</v>
      </c>
      <c r="D5" s="77" t="str">
        <f>'2026年'!D5</f>
        <v>肩部折叠</v>
      </c>
      <c r="E5" s="77" t="str">
        <f>'2026年'!E5</f>
        <v>根据成本价格进行加价确认</v>
      </c>
      <c r="F5" s="77">
        <f>'2026年'!F5</f>
        <v>0</v>
      </c>
      <c r="G5" s="77">
        <f>'2026年'!G5</f>
        <v>0</v>
      </c>
      <c r="H5" s="77">
        <f>'2026年'!H5</f>
        <v>0</v>
      </c>
      <c r="I5" s="77">
        <f>'2026年'!I5</f>
        <v>0</v>
      </c>
      <c r="J5" s="77">
        <f>'2026年'!J5</f>
        <v>0</v>
      </c>
      <c r="K5" s="77">
        <f>'2026年'!K5</f>
        <v>0</v>
      </c>
      <c r="L5" s="77">
        <f>'2026年'!L5</f>
        <v>0</v>
      </c>
      <c r="M5" s="77">
        <f>'2026年'!M5</f>
        <v>0</v>
      </c>
      <c r="N5" s="77">
        <f>'2026年'!N5</f>
        <v>0</v>
      </c>
      <c r="O5" s="77">
        <f>'2026年'!O5</f>
        <v>0</v>
      </c>
      <c r="P5" s="77">
        <f>'2026年'!P5</f>
        <v>0</v>
      </c>
      <c r="Q5" s="77">
        <f>'2026年'!Q5</f>
        <v>0</v>
      </c>
      <c r="R5" s="77">
        <f>'2026年'!R5</f>
        <v>0</v>
      </c>
      <c r="S5" s="244"/>
      <c r="AU5" s="71" t="s">
        <v>50</v>
      </c>
    </row>
    <row r="6" spans="1:47" ht="17.25">
      <c r="A6" s="78" t="s">
        <v>18</v>
      </c>
      <c r="B6" s="79" t="s">
        <v>144</v>
      </c>
      <c r="C6" s="98">
        <f>销量!C12</f>
        <v>20000</v>
      </c>
      <c r="D6" s="98">
        <f>销量!D12</f>
        <v>20000</v>
      </c>
      <c r="E6" s="98">
        <f>销量!E12</f>
        <v>0</v>
      </c>
      <c r="F6" s="98">
        <f>销量!F12</f>
        <v>0</v>
      </c>
      <c r="G6" s="98">
        <f>销量!G12</f>
        <v>0</v>
      </c>
      <c r="H6" s="98">
        <f>销量!H12</f>
        <v>0</v>
      </c>
      <c r="I6" s="98">
        <f>销量!I12</f>
        <v>0</v>
      </c>
      <c r="J6" s="98">
        <f>销量!J12</f>
        <v>0</v>
      </c>
      <c r="K6" s="98">
        <f>销量!K12</f>
        <v>0</v>
      </c>
      <c r="L6" s="98">
        <f>销量!L12</f>
        <v>0</v>
      </c>
      <c r="M6" s="98">
        <f>销量!M12</f>
        <v>0</v>
      </c>
      <c r="N6" s="98">
        <f>销量!N12</f>
        <v>0</v>
      </c>
      <c r="O6" s="98">
        <f>销量!O12</f>
        <v>0</v>
      </c>
      <c r="P6" s="98">
        <f>销量!P12</f>
        <v>0</v>
      </c>
      <c r="Q6" s="98">
        <f>销量!Q12</f>
        <v>0</v>
      </c>
      <c r="R6" s="98">
        <f>销量!R12</f>
        <v>0</v>
      </c>
      <c r="S6" s="81">
        <f>+SUM(C6:R6)</f>
        <v>40000</v>
      </c>
      <c r="AS6" s="78" t="s">
        <v>18</v>
      </c>
      <c r="AT6" s="79" t="s">
        <v>3</v>
      </c>
      <c r="AU6" s="71" t="s">
        <v>51</v>
      </c>
    </row>
    <row r="7" spans="1:47">
      <c r="A7" s="75">
        <v>1</v>
      </c>
      <c r="B7" s="79" t="s">
        <v>52</v>
      </c>
      <c r="C7" s="81">
        <f>C6*销量!C8</f>
        <v>6285114.0170504153</v>
      </c>
      <c r="D7" s="81">
        <f>D6*销量!D8</f>
        <v>5483238.7741603032</v>
      </c>
      <c r="E7" s="81">
        <f>E6*销量!E8</f>
        <v>0</v>
      </c>
      <c r="F7" s="81">
        <f>F6*销量!F8</f>
        <v>0</v>
      </c>
      <c r="G7" s="81">
        <f>G6*销量!G8</f>
        <v>0</v>
      </c>
      <c r="H7" s="81">
        <f>H6*销量!H8</f>
        <v>0</v>
      </c>
      <c r="I7" s="81">
        <f>I6*销量!I8</f>
        <v>0</v>
      </c>
      <c r="J7" s="81">
        <f>J6*销量!J8</f>
        <v>0</v>
      </c>
      <c r="K7" s="81">
        <f>K6*销量!K8</f>
        <v>0</v>
      </c>
      <c r="L7" s="81">
        <f>L6*销量!L8</f>
        <v>0</v>
      </c>
      <c r="M7" s="81">
        <f>M6*销量!M8</f>
        <v>0</v>
      </c>
      <c r="N7" s="81">
        <f>N6*销量!N8</f>
        <v>0</v>
      </c>
      <c r="O7" s="81">
        <f>O6*销量!O8</f>
        <v>0</v>
      </c>
      <c r="P7" s="81">
        <f>P6*销量!P8</f>
        <v>0</v>
      </c>
      <c r="Q7" s="81">
        <f>Q6*销量!Q8</f>
        <v>0</v>
      </c>
      <c r="R7" s="81">
        <f>R6*销量!R8</f>
        <v>0</v>
      </c>
      <c r="S7" s="81">
        <f t="shared" ref="S7:S13" si="0">+SUM(C7:R7)</f>
        <v>11768352.791210718</v>
      </c>
      <c r="T7" s="74"/>
      <c r="AS7" s="78" t="s">
        <v>53</v>
      </c>
      <c r="AT7" s="79" t="s">
        <v>52</v>
      </c>
      <c r="AU7" s="71" t="s">
        <v>51</v>
      </c>
    </row>
    <row r="8" spans="1:47">
      <c r="A8" s="75">
        <v>2</v>
      </c>
      <c r="B8" s="75" t="s">
        <v>54</v>
      </c>
      <c r="C8" s="81">
        <f>C7*(1-销量!$V$9)</f>
        <v>0</v>
      </c>
      <c r="D8" s="81">
        <f>D7*(1-销量!$V$9)</f>
        <v>0</v>
      </c>
      <c r="E8" s="81">
        <f>E7*(1-销量!$V$9)</f>
        <v>0</v>
      </c>
      <c r="F8" s="81">
        <f>F7*(1-销量!$V$9)</f>
        <v>0</v>
      </c>
      <c r="G8" s="81">
        <f>G7*(1-销量!$V$9)</f>
        <v>0</v>
      </c>
      <c r="H8" s="81">
        <f>H7*(1-销量!$V$9)</f>
        <v>0</v>
      </c>
      <c r="I8" s="81">
        <f>I7*(1-销量!$V$9)</f>
        <v>0</v>
      </c>
      <c r="J8" s="81">
        <f>J7*(1-销量!$V$9)</f>
        <v>0</v>
      </c>
      <c r="K8" s="81">
        <f>K7*(1-销量!$V$9)</f>
        <v>0</v>
      </c>
      <c r="L8" s="81">
        <f>L7*(1-销量!$V$9)</f>
        <v>0</v>
      </c>
      <c r="M8" s="81">
        <f>M7*(1-销量!$V$9)</f>
        <v>0</v>
      </c>
      <c r="N8" s="81">
        <f>N7*(1-销量!$V$9)</f>
        <v>0</v>
      </c>
      <c r="O8" s="81">
        <f>O7*(1-销量!$V$9)</f>
        <v>0</v>
      </c>
      <c r="P8" s="81">
        <f>P7*(1-销量!$V$9)</f>
        <v>0</v>
      </c>
      <c r="Q8" s="81">
        <f>Q7*(1-销量!$V$9)</f>
        <v>0</v>
      </c>
      <c r="R8" s="81">
        <f>R7*(1-销量!$V$9)</f>
        <v>0</v>
      </c>
      <c r="S8" s="81">
        <f t="shared" si="0"/>
        <v>0</v>
      </c>
      <c r="T8" s="82"/>
      <c r="AS8" s="78" t="s">
        <v>55</v>
      </c>
      <c r="AT8" s="75" t="s">
        <v>56</v>
      </c>
      <c r="AU8" s="71" t="s">
        <v>51</v>
      </c>
    </row>
    <row r="9" spans="1:47">
      <c r="A9" s="75">
        <v>3</v>
      </c>
      <c r="B9" s="79" t="s">
        <v>57</v>
      </c>
      <c r="C9" s="81">
        <f>+C7-C8</f>
        <v>6285114.0170504153</v>
      </c>
      <c r="D9" s="81">
        <f>+D7-D8</f>
        <v>5483238.7741603032</v>
      </c>
      <c r="E9" s="81">
        <f t="shared" ref="E9:S9" si="1">+E7-E8</f>
        <v>0</v>
      </c>
      <c r="F9" s="81">
        <f t="shared" si="1"/>
        <v>0</v>
      </c>
      <c r="G9" s="81">
        <f t="shared" ref="G9:R9" si="2">+G7-G8</f>
        <v>0</v>
      </c>
      <c r="H9" s="81">
        <f t="shared" si="2"/>
        <v>0</v>
      </c>
      <c r="I9" s="81">
        <f t="shared" si="2"/>
        <v>0</v>
      </c>
      <c r="J9" s="81">
        <f t="shared" si="2"/>
        <v>0</v>
      </c>
      <c r="K9" s="81">
        <f t="shared" si="2"/>
        <v>0</v>
      </c>
      <c r="L9" s="81">
        <f t="shared" si="2"/>
        <v>0</v>
      </c>
      <c r="M9" s="81">
        <f t="shared" si="2"/>
        <v>0</v>
      </c>
      <c r="N9" s="81">
        <f t="shared" si="2"/>
        <v>0</v>
      </c>
      <c r="O9" s="81">
        <f t="shared" si="2"/>
        <v>0</v>
      </c>
      <c r="P9" s="81">
        <f t="shared" si="2"/>
        <v>0</v>
      </c>
      <c r="Q9" s="81">
        <f t="shared" si="2"/>
        <v>0</v>
      </c>
      <c r="R9" s="81">
        <f t="shared" si="2"/>
        <v>0</v>
      </c>
      <c r="S9" s="81">
        <f t="shared" si="1"/>
        <v>11768352.791210718</v>
      </c>
      <c r="AS9" s="78" t="s">
        <v>58</v>
      </c>
      <c r="AT9" s="79" t="s">
        <v>57</v>
      </c>
      <c r="AU9" s="71" t="s">
        <v>59</v>
      </c>
    </row>
    <row r="10" spans="1:47">
      <c r="A10" s="75">
        <v>4</v>
      </c>
      <c r="B10" s="78" t="s">
        <v>61</v>
      </c>
      <c r="C10" s="81">
        <f>C6*C33</f>
        <v>4399579.8119352907</v>
      </c>
      <c r="D10" s="81">
        <f>D6*D33</f>
        <v>3838267.1419122117</v>
      </c>
      <c r="E10" s="81">
        <f t="shared" ref="E10:F10" si="3">E6*E33</f>
        <v>0</v>
      </c>
      <c r="F10" s="81">
        <f t="shared" si="3"/>
        <v>0</v>
      </c>
      <c r="G10" s="81">
        <f t="shared" ref="G10:R10" si="4">G6*G33</f>
        <v>0</v>
      </c>
      <c r="H10" s="81">
        <f t="shared" si="4"/>
        <v>0</v>
      </c>
      <c r="I10" s="81">
        <f t="shared" si="4"/>
        <v>0</v>
      </c>
      <c r="J10" s="81">
        <f t="shared" si="4"/>
        <v>0</v>
      </c>
      <c r="K10" s="81">
        <f t="shared" si="4"/>
        <v>0</v>
      </c>
      <c r="L10" s="81">
        <f t="shared" si="4"/>
        <v>0</v>
      </c>
      <c r="M10" s="81">
        <f t="shared" si="4"/>
        <v>0</v>
      </c>
      <c r="N10" s="81">
        <f t="shared" si="4"/>
        <v>0</v>
      </c>
      <c r="O10" s="81">
        <f t="shared" si="4"/>
        <v>0</v>
      </c>
      <c r="P10" s="81">
        <f t="shared" si="4"/>
        <v>0</v>
      </c>
      <c r="Q10" s="81">
        <f t="shared" si="4"/>
        <v>0</v>
      </c>
      <c r="R10" s="81">
        <f t="shared" si="4"/>
        <v>0</v>
      </c>
      <c r="S10" s="81">
        <f t="shared" si="0"/>
        <v>8237846.9538475024</v>
      </c>
      <c r="AS10" s="78" t="s">
        <v>60</v>
      </c>
      <c r="AT10" s="78" t="s">
        <v>61</v>
      </c>
      <c r="AU10" s="71" t="s">
        <v>62</v>
      </c>
    </row>
    <row r="11" spans="1:47">
      <c r="A11" s="75">
        <v>5</v>
      </c>
      <c r="B11" s="78" t="s">
        <v>63</v>
      </c>
      <c r="C11" s="81">
        <f>+C6*C36</f>
        <v>501552.09856062313</v>
      </c>
      <c r="D11" s="81">
        <f>+D6*D36</f>
        <v>437562.45417799213</v>
      </c>
      <c r="E11" s="81">
        <f t="shared" ref="E11:F11" si="5">+E6*E36</f>
        <v>0</v>
      </c>
      <c r="F11" s="81">
        <f t="shared" si="5"/>
        <v>0</v>
      </c>
      <c r="G11" s="81">
        <f t="shared" ref="G11:R11" si="6">+G6*G36</f>
        <v>0</v>
      </c>
      <c r="H11" s="81">
        <f t="shared" si="6"/>
        <v>0</v>
      </c>
      <c r="I11" s="81">
        <f t="shared" si="6"/>
        <v>0</v>
      </c>
      <c r="J11" s="81">
        <f t="shared" si="6"/>
        <v>0</v>
      </c>
      <c r="K11" s="81">
        <f t="shared" si="6"/>
        <v>0</v>
      </c>
      <c r="L11" s="81">
        <f t="shared" si="6"/>
        <v>0</v>
      </c>
      <c r="M11" s="81">
        <f t="shared" si="6"/>
        <v>0</v>
      </c>
      <c r="N11" s="81">
        <f t="shared" si="6"/>
        <v>0</v>
      </c>
      <c r="O11" s="81">
        <f t="shared" si="6"/>
        <v>0</v>
      </c>
      <c r="P11" s="81">
        <f t="shared" si="6"/>
        <v>0</v>
      </c>
      <c r="Q11" s="81">
        <f t="shared" si="6"/>
        <v>0</v>
      </c>
      <c r="R11" s="81">
        <f t="shared" si="6"/>
        <v>0</v>
      </c>
      <c r="S11" s="81">
        <f t="shared" si="0"/>
        <v>939114.55273861531</v>
      </c>
      <c r="AS11" s="78" t="s">
        <v>64</v>
      </c>
      <c r="AT11" s="78" t="s">
        <v>63</v>
      </c>
    </row>
    <row r="12" spans="1:47">
      <c r="A12" s="75">
        <v>6</v>
      </c>
      <c r="B12" s="78" t="s">
        <v>65</v>
      </c>
      <c r="C12" s="81">
        <f>+C6*C37</f>
        <v>329968.48589514685</v>
      </c>
      <c r="D12" s="81">
        <f>+D6*D37</f>
        <v>287870.03564341593</v>
      </c>
      <c r="E12" s="81">
        <f t="shared" ref="E12:F12" si="7">+E6*E37</f>
        <v>0</v>
      </c>
      <c r="F12" s="81">
        <f t="shared" si="7"/>
        <v>0</v>
      </c>
      <c r="G12" s="81">
        <f t="shared" ref="G12:R12" si="8">+G6*G37</f>
        <v>0</v>
      </c>
      <c r="H12" s="81">
        <f t="shared" si="8"/>
        <v>0</v>
      </c>
      <c r="I12" s="81">
        <f t="shared" si="8"/>
        <v>0</v>
      </c>
      <c r="J12" s="81">
        <f t="shared" si="8"/>
        <v>0</v>
      </c>
      <c r="K12" s="81">
        <f t="shared" si="8"/>
        <v>0</v>
      </c>
      <c r="L12" s="81">
        <f t="shared" si="8"/>
        <v>0</v>
      </c>
      <c r="M12" s="81">
        <f t="shared" si="8"/>
        <v>0</v>
      </c>
      <c r="N12" s="81">
        <f t="shared" si="8"/>
        <v>0</v>
      </c>
      <c r="O12" s="81">
        <f t="shared" si="8"/>
        <v>0</v>
      </c>
      <c r="P12" s="81">
        <f t="shared" si="8"/>
        <v>0</v>
      </c>
      <c r="Q12" s="81">
        <f t="shared" si="8"/>
        <v>0</v>
      </c>
      <c r="R12" s="81">
        <f t="shared" si="8"/>
        <v>0</v>
      </c>
      <c r="S12" s="81">
        <f t="shared" si="0"/>
        <v>617838.52153856284</v>
      </c>
      <c r="AS12" s="78" t="s">
        <v>66</v>
      </c>
      <c r="AT12" s="78" t="s">
        <v>65</v>
      </c>
    </row>
    <row r="13" spans="1:47">
      <c r="A13" s="75">
        <v>7</v>
      </c>
      <c r="B13" s="78" t="s">
        <v>67</v>
      </c>
      <c r="C13" s="81">
        <f>+C6*C38</f>
        <v>147071.66799897968</v>
      </c>
      <c r="D13" s="81">
        <f>+D6*D38</f>
        <v>128307.78731535109</v>
      </c>
      <c r="E13" s="81">
        <f t="shared" ref="E13:F13" si="9">+E6*E38</f>
        <v>0</v>
      </c>
      <c r="F13" s="81">
        <f t="shared" si="9"/>
        <v>0</v>
      </c>
      <c r="G13" s="81">
        <f t="shared" ref="G13:R13" si="10">+G6*G38</f>
        <v>0</v>
      </c>
      <c r="H13" s="81">
        <f t="shared" si="10"/>
        <v>0</v>
      </c>
      <c r="I13" s="81">
        <f t="shared" si="10"/>
        <v>0</v>
      </c>
      <c r="J13" s="81">
        <f t="shared" si="10"/>
        <v>0</v>
      </c>
      <c r="K13" s="81">
        <f t="shared" si="10"/>
        <v>0</v>
      </c>
      <c r="L13" s="81">
        <f t="shared" si="10"/>
        <v>0</v>
      </c>
      <c r="M13" s="81">
        <f t="shared" si="10"/>
        <v>0</v>
      </c>
      <c r="N13" s="81">
        <f t="shared" si="10"/>
        <v>0</v>
      </c>
      <c r="O13" s="81">
        <f t="shared" si="10"/>
        <v>0</v>
      </c>
      <c r="P13" s="81">
        <f t="shared" si="10"/>
        <v>0</v>
      </c>
      <c r="Q13" s="81">
        <f t="shared" si="10"/>
        <v>0</v>
      </c>
      <c r="R13" s="81">
        <f t="shared" si="10"/>
        <v>0</v>
      </c>
      <c r="S13" s="81">
        <f t="shared" si="0"/>
        <v>275379.45531433076</v>
      </c>
      <c r="AS13" s="78" t="s">
        <v>68</v>
      </c>
      <c r="AT13" s="78" t="s">
        <v>67</v>
      </c>
      <c r="AU13" s="71" t="s">
        <v>51</v>
      </c>
    </row>
    <row r="14" spans="1:47">
      <c r="A14" s="75">
        <v>8</v>
      </c>
      <c r="B14" s="83" t="s">
        <v>69</v>
      </c>
      <c r="C14" s="81">
        <f>SUM(C11:C13)</f>
        <v>978592.25245474966</v>
      </c>
      <c r="D14" s="81">
        <f>SUM(D11:D13)</f>
        <v>853740.27713675913</v>
      </c>
      <c r="E14" s="81">
        <f t="shared" ref="E14:S14" si="11">SUM(E11:E13)</f>
        <v>0</v>
      </c>
      <c r="F14" s="81">
        <f t="shared" si="11"/>
        <v>0</v>
      </c>
      <c r="G14" s="81">
        <f t="shared" ref="G14:R14" si="12">SUM(G11:G13)</f>
        <v>0</v>
      </c>
      <c r="H14" s="81">
        <f t="shared" si="12"/>
        <v>0</v>
      </c>
      <c r="I14" s="81">
        <f t="shared" si="12"/>
        <v>0</v>
      </c>
      <c r="J14" s="81">
        <f t="shared" si="12"/>
        <v>0</v>
      </c>
      <c r="K14" s="81">
        <f t="shared" si="12"/>
        <v>0</v>
      </c>
      <c r="L14" s="81">
        <f t="shared" si="12"/>
        <v>0</v>
      </c>
      <c r="M14" s="81">
        <f t="shared" si="12"/>
        <v>0</v>
      </c>
      <c r="N14" s="81">
        <f t="shared" si="12"/>
        <v>0</v>
      </c>
      <c r="O14" s="81">
        <f t="shared" si="12"/>
        <v>0</v>
      </c>
      <c r="P14" s="81">
        <f t="shared" si="12"/>
        <v>0</v>
      </c>
      <c r="Q14" s="81">
        <f t="shared" si="12"/>
        <v>0</v>
      </c>
      <c r="R14" s="81">
        <f t="shared" si="12"/>
        <v>0</v>
      </c>
      <c r="S14" s="81">
        <f t="shared" si="11"/>
        <v>1832332.5295915089</v>
      </c>
      <c r="AS14" s="78" t="s">
        <v>70</v>
      </c>
      <c r="AT14" s="83" t="s">
        <v>69</v>
      </c>
    </row>
    <row r="15" spans="1:47">
      <c r="A15" s="75">
        <v>9</v>
      </c>
      <c r="B15" s="83" t="s">
        <v>71</v>
      </c>
      <c r="C15" s="81">
        <f>+C9-C10-C14</f>
        <v>906941.95266037493</v>
      </c>
      <c r="D15" s="81">
        <f>+D9-D10-D14</f>
        <v>791231.35511133238</v>
      </c>
      <c r="E15" s="81">
        <f t="shared" ref="E15:S15" si="13">+E9-E10-E14</f>
        <v>0</v>
      </c>
      <c r="F15" s="81">
        <f t="shared" si="13"/>
        <v>0</v>
      </c>
      <c r="G15" s="81">
        <f t="shared" ref="G15:R15" si="14">+G9-G10-G14</f>
        <v>0</v>
      </c>
      <c r="H15" s="81">
        <f t="shared" si="14"/>
        <v>0</v>
      </c>
      <c r="I15" s="81">
        <f t="shared" si="14"/>
        <v>0</v>
      </c>
      <c r="J15" s="81">
        <f t="shared" si="14"/>
        <v>0</v>
      </c>
      <c r="K15" s="81">
        <f t="shared" si="14"/>
        <v>0</v>
      </c>
      <c r="L15" s="81">
        <f t="shared" si="14"/>
        <v>0</v>
      </c>
      <c r="M15" s="81">
        <f t="shared" si="14"/>
        <v>0</v>
      </c>
      <c r="N15" s="81">
        <f t="shared" si="14"/>
        <v>0</v>
      </c>
      <c r="O15" s="81">
        <f t="shared" si="14"/>
        <v>0</v>
      </c>
      <c r="P15" s="81">
        <f t="shared" si="14"/>
        <v>0</v>
      </c>
      <c r="Q15" s="81">
        <f t="shared" si="14"/>
        <v>0</v>
      </c>
      <c r="R15" s="81">
        <f t="shared" si="14"/>
        <v>0</v>
      </c>
      <c r="S15" s="81">
        <f t="shared" si="13"/>
        <v>1698173.3077717072</v>
      </c>
      <c r="AS15" s="78" t="s">
        <v>72</v>
      </c>
      <c r="AT15" s="83" t="s">
        <v>71</v>
      </c>
    </row>
    <row r="16" spans="1:47">
      <c r="A16" s="75">
        <v>10</v>
      </c>
      <c r="B16" s="78" t="s">
        <v>73</v>
      </c>
      <c r="C16" s="84">
        <f>+C15/C9</f>
        <v>0.14430000000000001</v>
      </c>
      <c r="D16" s="84">
        <f>+D15/D9</f>
        <v>0.14430000000000012</v>
      </c>
      <c r="E16" s="84" t="e">
        <f t="shared" ref="E16:F16" si="15">+E15/E9</f>
        <v>#DIV/0!</v>
      </c>
      <c r="F16" s="84" t="e">
        <f t="shared" si="15"/>
        <v>#DIV/0!</v>
      </c>
      <c r="G16" s="84" t="e">
        <f t="shared" ref="G16:R16" si="16">+G15/G9</f>
        <v>#DIV/0!</v>
      </c>
      <c r="H16" s="84" t="e">
        <f t="shared" si="16"/>
        <v>#DIV/0!</v>
      </c>
      <c r="I16" s="84" t="e">
        <f t="shared" si="16"/>
        <v>#DIV/0!</v>
      </c>
      <c r="J16" s="84" t="e">
        <f t="shared" si="16"/>
        <v>#DIV/0!</v>
      </c>
      <c r="K16" s="84" t="e">
        <f t="shared" si="16"/>
        <v>#DIV/0!</v>
      </c>
      <c r="L16" s="84" t="e">
        <f t="shared" si="16"/>
        <v>#DIV/0!</v>
      </c>
      <c r="M16" s="84" t="e">
        <f t="shared" si="16"/>
        <v>#DIV/0!</v>
      </c>
      <c r="N16" s="84" t="e">
        <f t="shared" si="16"/>
        <v>#DIV/0!</v>
      </c>
      <c r="O16" s="84" t="e">
        <f t="shared" si="16"/>
        <v>#DIV/0!</v>
      </c>
      <c r="P16" s="84" t="e">
        <f t="shared" si="16"/>
        <v>#DIV/0!</v>
      </c>
      <c r="Q16" s="84" t="e">
        <f t="shared" si="16"/>
        <v>#DIV/0!</v>
      </c>
      <c r="R16" s="84" t="e">
        <f t="shared" si="16"/>
        <v>#DIV/0!</v>
      </c>
      <c r="S16" s="84">
        <f>+S15/S9</f>
        <v>0.14430000000000004</v>
      </c>
      <c r="T16" s="85"/>
      <c r="U16" s="85"/>
      <c r="V16" s="85"/>
      <c r="AS16" s="78" t="s">
        <v>74</v>
      </c>
      <c r="AT16" s="78" t="s">
        <v>73</v>
      </c>
    </row>
    <row r="17" spans="1:47">
      <c r="A17" s="75">
        <v>11</v>
      </c>
      <c r="B17" s="78" t="s">
        <v>75</v>
      </c>
      <c r="C17" s="81">
        <f>C6*C43+C18</f>
        <v>530847.71727929125</v>
      </c>
      <c r="D17" s="81">
        <f>D6*D43+D18</f>
        <v>480089.01440434717</v>
      </c>
      <c r="E17" s="81">
        <f t="shared" ref="E17:F17" si="17">E6*E43+E18</f>
        <v>0</v>
      </c>
      <c r="F17" s="81">
        <f t="shared" si="17"/>
        <v>0</v>
      </c>
      <c r="G17" s="81">
        <f t="shared" ref="G17:R17" si="18">G6*G43+G18</f>
        <v>0</v>
      </c>
      <c r="H17" s="81">
        <f t="shared" si="18"/>
        <v>0</v>
      </c>
      <c r="I17" s="81">
        <f t="shared" si="18"/>
        <v>0</v>
      </c>
      <c r="J17" s="81">
        <f t="shared" si="18"/>
        <v>0</v>
      </c>
      <c r="K17" s="81">
        <f t="shared" si="18"/>
        <v>0</v>
      </c>
      <c r="L17" s="81">
        <f t="shared" si="18"/>
        <v>0</v>
      </c>
      <c r="M17" s="81">
        <f t="shared" si="18"/>
        <v>0</v>
      </c>
      <c r="N17" s="81">
        <f t="shared" si="18"/>
        <v>0</v>
      </c>
      <c r="O17" s="81">
        <f t="shared" si="18"/>
        <v>0</v>
      </c>
      <c r="P17" s="81">
        <f t="shared" si="18"/>
        <v>0</v>
      </c>
      <c r="Q17" s="81">
        <f t="shared" si="18"/>
        <v>0</v>
      </c>
      <c r="R17" s="81">
        <f t="shared" si="18"/>
        <v>0</v>
      </c>
      <c r="S17" s="81">
        <f>+SUM(C17:R17)</f>
        <v>1010936.7316836384</v>
      </c>
      <c r="T17" s="82"/>
      <c r="AS17" s="78" t="s">
        <v>76</v>
      </c>
      <c r="AT17" s="78" t="s">
        <v>75</v>
      </c>
    </row>
    <row r="18" spans="1:47" s="72" customFormat="1">
      <c r="A18" s="75">
        <v>12</v>
      </c>
      <c r="B18" s="86" t="s">
        <v>145</v>
      </c>
      <c r="C18" s="87">
        <f>$S$18/$S$6*C6</f>
        <v>133000</v>
      </c>
      <c r="D18" s="87">
        <f>$S$18/$S$6*D6</f>
        <v>133000</v>
      </c>
      <c r="E18" s="87">
        <f>$S$18/$S$6*E6</f>
        <v>0</v>
      </c>
      <c r="F18" s="87">
        <f>$S$18/$S$6*F6</f>
        <v>0</v>
      </c>
      <c r="G18" s="87">
        <f t="shared" ref="G18:R18" si="19">$S$18/$S$6*G6</f>
        <v>0</v>
      </c>
      <c r="H18" s="87">
        <f t="shared" si="19"/>
        <v>0</v>
      </c>
      <c r="I18" s="87">
        <f t="shared" si="19"/>
        <v>0</v>
      </c>
      <c r="J18" s="87">
        <f t="shared" si="19"/>
        <v>0</v>
      </c>
      <c r="K18" s="87">
        <f t="shared" si="19"/>
        <v>0</v>
      </c>
      <c r="L18" s="87">
        <f t="shared" si="19"/>
        <v>0</v>
      </c>
      <c r="M18" s="87">
        <f t="shared" si="19"/>
        <v>0</v>
      </c>
      <c r="N18" s="87">
        <f t="shared" si="19"/>
        <v>0</v>
      </c>
      <c r="O18" s="87">
        <f t="shared" si="19"/>
        <v>0</v>
      </c>
      <c r="P18" s="87">
        <f t="shared" si="19"/>
        <v>0</v>
      </c>
      <c r="Q18" s="87">
        <f t="shared" si="19"/>
        <v>0</v>
      </c>
      <c r="R18" s="87">
        <f t="shared" si="19"/>
        <v>0</v>
      </c>
      <c r="S18" s="81">
        <f>项目投资!G26</f>
        <v>266000</v>
      </c>
      <c r="T18" s="88" t="s">
        <v>146</v>
      </c>
      <c r="U18" s="88"/>
      <c r="V18" s="88"/>
    </row>
    <row r="19" spans="1:47">
      <c r="A19" s="75">
        <v>13</v>
      </c>
      <c r="B19" s="78" t="s">
        <v>77</v>
      </c>
      <c r="C19" s="81">
        <f>C6*C44</f>
        <v>0</v>
      </c>
      <c r="D19" s="81">
        <f>D6*D44</f>
        <v>0</v>
      </c>
      <c r="E19" s="81">
        <f t="shared" ref="E19:F19" si="20">E6*E44</f>
        <v>0</v>
      </c>
      <c r="F19" s="81">
        <f t="shared" si="20"/>
        <v>0</v>
      </c>
      <c r="G19" s="81">
        <f t="shared" ref="G19:R19" si="21">G6*G44</f>
        <v>0</v>
      </c>
      <c r="H19" s="81">
        <f t="shared" si="21"/>
        <v>0</v>
      </c>
      <c r="I19" s="81">
        <f t="shared" si="21"/>
        <v>0</v>
      </c>
      <c r="J19" s="81">
        <f t="shared" si="21"/>
        <v>0</v>
      </c>
      <c r="K19" s="81">
        <f t="shared" si="21"/>
        <v>0</v>
      </c>
      <c r="L19" s="81">
        <f t="shared" si="21"/>
        <v>0</v>
      </c>
      <c r="M19" s="81">
        <f t="shared" si="21"/>
        <v>0</v>
      </c>
      <c r="N19" s="81">
        <f t="shared" si="21"/>
        <v>0</v>
      </c>
      <c r="O19" s="81">
        <f t="shared" si="21"/>
        <v>0</v>
      </c>
      <c r="P19" s="81">
        <f t="shared" si="21"/>
        <v>0</v>
      </c>
      <c r="Q19" s="81">
        <f t="shared" si="21"/>
        <v>0</v>
      </c>
      <c r="R19" s="81">
        <f t="shared" si="21"/>
        <v>0</v>
      </c>
      <c r="S19" s="81">
        <f t="shared" ref="S19:S20" si="22">+SUM(C19:R19)</f>
        <v>0</v>
      </c>
      <c r="T19" s="72"/>
      <c r="AS19" s="78" t="s">
        <v>78</v>
      </c>
      <c r="AT19" s="78" t="s">
        <v>77</v>
      </c>
      <c r="AU19" s="71" t="s">
        <v>51</v>
      </c>
    </row>
    <row r="20" spans="1:47">
      <c r="A20" s="75">
        <v>14</v>
      </c>
      <c r="B20" s="78" t="s">
        <v>79</v>
      </c>
      <c r="C20" s="81">
        <f>C6*C45</f>
        <v>30797.058683547035</v>
      </c>
      <c r="D20" s="81">
        <f>D6*D45</f>
        <v>26867.869993385484</v>
      </c>
      <c r="E20" s="81">
        <f t="shared" ref="E20:F20" si="23">E6*E45</f>
        <v>0</v>
      </c>
      <c r="F20" s="81">
        <f t="shared" si="23"/>
        <v>0</v>
      </c>
      <c r="G20" s="81">
        <f t="shared" ref="G20:R20" si="24">G6*G45</f>
        <v>0</v>
      </c>
      <c r="H20" s="81">
        <f t="shared" si="24"/>
        <v>0</v>
      </c>
      <c r="I20" s="81">
        <f t="shared" si="24"/>
        <v>0</v>
      </c>
      <c r="J20" s="81">
        <f t="shared" si="24"/>
        <v>0</v>
      </c>
      <c r="K20" s="81">
        <f t="shared" si="24"/>
        <v>0</v>
      </c>
      <c r="L20" s="81">
        <f t="shared" si="24"/>
        <v>0</v>
      </c>
      <c r="M20" s="81">
        <f t="shared" si="24"/>
        <v>0</v>
      </c>
      <c r="N20" s="81">
        <f t="shared" si="24"/>
        <v>0</v>
      </c>
      <c r="O20" s="81">
        <f t="shared" si="24"/>
        <v>0</v>
      </c>
      <c r="P20" s="81">
        <f t="shared" si="24"/>
        <v>0</v>
      </c>
      <c r="Q20" s="81">
        <f t="shared" si="24"/>
        <v>0</v>
      </c>
      <c r="R20" s="81">
        <f t="shared" si="24"/>
        <v>0</v>
      </c>
      <c r="S20" s="81">
        <f t="shared" si="22"/>
        <v>57664.928676932519</v>
      </c>
      <c r="AS20" s="78" t="s">
        <v>80</v>
      </c>
      <c r="AT20" s="78" t="s">
        <v>79</v>
      </c>
    </row>
    <row r="21" spans="1:47">
      <c r="A21" s="75">
        <v>15</v>
      </c>
      <c r="B21" s="78" t="s">
        <v>81</v>
      </c>
      <c r="C21" s="89">
        <f>$S$21/$S$6*C6</f>
        <v>10000</v>
      </c>
      <c r="D21" s="89">
        <f>$S$21/$S$6*D6</f>
        <v>10000</v>
      </c>
      <c r="E21" s="89">
        <f t="shared" ref="E21:F21" si="25">$S$21/$S$6*E6</f>
        <v>0</v>
      </c>
      <c r="F21" s="89">
        <f t="shared" si="25"/>
        <v>0</v>
      </c>
      <c r="G21" s="89">
        <f t="shared" ref="G21:R21" si="26">$S$21/$S$6*G6</f>
        <v>0</v>
      </c>
      <c r="H21" s="89">
        <f t="shared" si="26"/>
        <v>0</v>
      </c>
      <c r="I21" s="89">
        <f t="shared" si="26"/>
        <v>0</v>
      </c>
      <c r="J21" s="89">
        <f t="shared" si="26"/>
        <v>0</v>
      </c>
      <c r="K21" s="89">
        <f t="shared" si="26"/>
        <v>0</v>
      </c>
      <c r="L21" s="89">
        <f t="shared" si="26"/>
        <v>0</v>
      </c>
      <c r="M21" s="89">
        <f t="shared" si="26"/>
        <v>0</v>
      </c>
      <c r="N21" s="89">
        <f t="shared" si="26"/>
        <v>0</v>
      </c>
      <c r="O21" s="89">
        <f t="shared" si="26"/>
        <v>0</v>
      </c>
      <c r="P21" s="89">
        <f t="shared" si="26"/>
        <v>0</v>
      </c>
      <c r="Q21" s="89">
        <f t="shared" si="26"/>
        <v>0</v>
      </c>
      <c r="R21" s="89">
        <f t="shared" si="26"/>
        <v>0</v>
      </c>
      <c r="S21" s="81">
        <f>项目投资!G27</f>
        <v>20000</v>
      </c>
      <c r="AS21" s="78"/>
      <c r="AT21" s="78"/>
    </row>
    <row r="22" spans="1:47">
      <c r="A22" s="75">
        <v>16</v>
      </c>
      <c r="B22" s="78" t="s">
        <v>82</v>
      </c>
      <c r="C22" s="81">
        <f>C6*C47</f>
        <v>233806.24143427543</v>
      </c>
      <c r="D22" s="81">
        <f>D6*D47</f>
        <v>203976.48239876324</v>
      </c>
      <c r="E22" s="81">
        <f t="shared" ref="E22:F22" si="27">E6*E47</f>
        <v>0</v>
      </c>
      <c r="F22" s="81">
        <f t="shared" si="27"/>
        <v>0</v>
      </c>
      <c r="G22" s="81">
        <f t="shared" ref="G22:R22" si="28">G6*G47</f>
        <v>0</v>
      </c>
      <c r="H22" s="81">
        <f t="shared" si="28"/>
        <v>0</v>
      </c>
      <c r="I22" s="81">
        <f t="shared" si="28"/>
        <v>0</v>
      </c>
      <c r="J22" s="81">
        <f t="shared" si="28"/>
        <v>0</v>
      </c>
      <c r="K22" s="81">
        <f t="shared" si="28"/>
        <v>0</v>
      </c>
      <c r="L22" s="81">
        <f t="shared" si="28"/>
        <v>0</v>
      </c>
      <c r="M22" s="81">
        <f t="shared" si="28"/>
        <v>0</v>
      </c>
      <c r="N22" s="81">
        <f t="shared" si="28"/>
        <v>0</v>
      </c>
      <c r="O22" s="81">
        <f t="shared" si="28"/>
        <v>0</v>
      </c>
      <c r="P22" s="81">
        <f t="shared" si="28"/>
        <v>0</v>
      </c>
      <c r="Q22" s="81">
        <f t="shared" si="28"/>
        <v>0</v>
      </c>
      <c r="R22" s="81">
        <f t="shared" si="28"/>
        <v>0</v>
      </c>
      <c r="S22" s="81">
        <f>+SUM(C22:R22)</f>
        <v>437782.7238330387</v>
      </c>
      <c r="AS22" s="78" t="s">
        <v>83</v>
      </c>
      <c r="AT22" s="78" t="s">
        <v>82</v>
      </c>
    </row>
    <row r="23" spans="1:47">
      <c r="A23" s="75">
        <v>17</v>
      </c>
      <c r="B23" s="83" t="s">
        <v>84</v>
      </c>
      <c r="C23" s="89">
        <f>+C22+C21+C20+C19+C17</f>
        <v>805451.01739711373</v>
      </c>
      <c r="D23" s="89">
        <f>+D22+D21+D20+D19+D17</f>
        <v>720933.36679649586</v>
      </c>
      <c r="E23" s="89">
        <f t="shared" ref="E23:F23" si="29">+E22+E21+E20+E19+E17</f>
        <v>0</v>
      </c>
      <c r="F23" s="89">
        <f t="shared" si="29"/>
        <v>0</v>
      </c>
      <c r="G23" s="89">
        <f t="shared" ref="G23:R23" si="30">+G22+G21+G20+G19+G17</f>
        <v>0</v>
      </c>
      <c r="H23" s="89">
        <f t="shared" si="30"/>
        <v>0</v>
      </c>
      <c r="I23" s="89">
        <f t="shared" si="30"/>
        <v>0</v>
      </c>
      <c r="J23" s="89">
        <f t="shared" si="30"/>
        <v>0</v>
      </c>
      <c r="K23" s="89">
        <f t="shared" si="30"/>
        <v>0</v>
      </c>
      <c r="L23" s="89">
        <f t="shared" si="30"/>
        <v>0</v>
      </c>
      <c r="M23" s="89">
        <f t="shared" si="30"/>
        <v>0</v>
      </c>
      <c r="N23" s="89">
        <f t="shared" si="30"/>
        <v>0</v>
      </c>
      <c r="O23" s="89">
        <f t="shared" si="30"/>
        <v>0</v>
      </c>
      <c r="P23" s="89">
        <f t="shared" si="30"/>
        <v>0</v>
      </c>
      <c r="Q23" s="89">
        <f t="shared" si="30"/>
        <v>0</v>
      </c>
      <c r="R23" s="89">
        <f t="shared" si="30"/>
        <v>0</v>
      </c>
      <c r="S23" s="89">
        <f>+S22+S21+S20+S19+S17</f>
        <v>1526384.3841936097</v>
      </c>
      <c r="AS23" s="78" t="s">
        <v>85</v>
      </c>
      <c r="AT23" s="83" t="s">
        <v>84</v>
      </c>
    </row>
    <row r="24" spans="1:47">
      <c r="A24" s="75">
        <v>18</v>
      </c>
      <c r="B24" s="90" t="s">
        <v>86</v>
      </c>
      <c r="C24" s="89">
        <f>+C15-C23</f>
        <v>101490.9352632612</v>
      </c>
      <c r="D24" s="89">
        <f>+D15-D23</f>
        <v>70297.988314836519</v>
      </c>
      <c r="E24" s="89">
        <f t="shared" ref="E24:F24" si="31">+E15-E23</f>
        <v>0</v>
      </c>
      <c r="F24" s="89">
        <f t="shared" si="31"/>
        <v>0</v>
      </c>
      <c r="G24" s="89">
        <f t="shared" ref="G24:R24" si="32">+G15-G23</f>
        <v>0</v>
      </c>
      <c r="H24" s="89">
        <f t="shared" si="32"/>
        <v>0</v>
      </c>
      <c r="I24" s="89">
        <f t="shared" si="32"/>
        <v>0</v>
      </c>
      <c r="J24" s="89">
        <f t="shared" si="32"/>
        <v>0</v>
      </c>
      <c r="K24" s="89">
        <f t="shared" si="32"/>
        <v>0</v>
      </c>
      <c r="L24" s="89">
        <f t="shared" si="32"/>
        <v>0</v>
      </c>
      <c r="M24" s="89">
        <f t="shared" si="32"/>
        <v>0</v>
      </c>
      <c r="N24" s="89">
        <f t="shared" si="32"/>
        <v>0</v>
      </c>
      <c r="O24" s="89">
        <f t="shared" si="32"/>
        <v>0</v>
      </c>
      <c r="P24" s="89">
        <f t="shared" si="32"/>
        <v>0</v>
      </c>
      <c r="Q24" s="89">
        <f t="shared" si="32"/>
        <v>0</v>
      </c>
      <c r="R24" s="89">
        <f t="shared" si="32"/>
        <v>0</v>
      </c>
      <c r="S24" s="89">
        <f>+S15-S23</f>
        <v>171788.92357809749</v>
      </c>
      <c r="U24" s="91"/>
      <c r="AS24" s="78" t="s">
        <v>87</v>
      </c>
      <c r="AT24" s="78" t="s">
        <v>86</v>
      </c>
    </row>
    <row r="25" spans="1:47">
      <c r="A25" s="75">
        <v>19</v>
      </c>
      <c r="B25" s="78" t="s">
        <v>264</v>
      </c>
      <c r="C25" s="89">
        <f>IF(C24&lt;0,0,C24*0.15)</f>
        <v>15223.64028948918</v>
      </c>
      <c r="D25" s="89">
        <f t="shared" ref="D25:S25" si="33">IF(D24&lt;0,0,D24*0.15)</f>
        <v>10544.698247225477</v>
      </c>
      <c r="E25" s="89">
        <f t="shared" ref="E25:F25" si="34">IF(E24&lt;0,0,E24*0.15)</f>
        <v>0</v>
      </c>
      <c r="F25" s="89">
        <f t="shared" si="34"/>
        <v>0</v>
      </c>
      <c r="G25" s="89">
        <f t="shared" ref="G25:R25" si="35">IF(G24&lt;0,0,G24*0.15)</f>
        <v>0</v>
      </c>
      <c r="H25" s="89">
        <f t="shared" si="35"/>
        <v>0</v>
      </c>
      <c r="I25" s="89">
        <f t="shared" si="35"/>
        <v>0</v>
      </c>
      <c r="J25" s="89">
        <f t="shared" si="35"/>
        <v>0</v>
      </c>
      <c r="K25" s="89">
        <f t="shared" si="35"/>
        <v>0</v>
      </c>
      <c r="L25" s="89">
        <f t="shared" si="35"/>
        <v>0</v>
      </c>
      <c r="M25" s="89">
        <f t="shared" si="35"/>
        <v>0</v>
      </c>
      <c r="N25" s="89">
        <f t="shared" si="35"/>
        <v>0</v>
      </c>
      <c r="O25" s="89">
        <f t="shared" si="35"/>
        <v>0</v>
      </c>
      <c r="P25" s="89">
        <f t="shared" si="35"/>
        <v>0</v>
      </c>
      <c r="Q25" s="89">
        <f t="shared" si="35"/>
        <v>0</v>
      </c>
      <c r="R25" s="89">
        <f t="shared" si="35"/>
        <v>0</v>
      </c>
      <c r="S25" s="89">
        <f t="shared" si="33"/>
        <v>25768.338536714622</v>
      </c>
      <c r="T25" s="2"/>
      <c r="U25" s="2"/>
      <c r="V25" s="2"/>
      <c r="AS25" s="78" t="s">
        <v>88</v>
      </c>
      <c r="AT25" s="78" t="s">
        <v>35</v>
      </c>
    </row>
    <row r="26" spans="1:47">
      <c r="A26" s="75">
        <v>20</v>
      </c>
      <c r="B26" s="78" t="s">
        <v>89</v>
      </c>
      <c r="C26" s="89">
        <f>C24-C25</f>
        <v>86267.294973772019</v>
      </c>
      <c r="D26" s="89">
        <f>D24-D25</f>
        <v>59753.290067611044</v>
      </c>
      <c r="E26" s="89">
        <f t="shared" ref="E26:S26" si="36">E24-E25</f>
        <v>0</v>
      </c>
      <c r="F26" s="89">
        <f t="shared" si="36"/>
        <v>0</v>
      </c>
      <c r="G26" s="89">
        <f t="shared" ref="G26:R26" si="37">G24-G25</f>
        <v>0</v>
      </c>
      <c r="H26" s="89">
        <f t="shared" si="37"/>
        <v>0</v>
      </c>
      <c r="I26" s="89">
        <f t="shared" si="37"/>
        <v>0</v>
      </c>
      <c r="J26" s="89">
        <f t="shared" si="37"/>
        <v>0</v>
      </c>
      <c r="K26" s="89">
        <f t="shared" si="37"/>
        <v>0</v>
      </c>
      <c r="L26" s="89">
        <f t="shared" si="37"/>
        <v>0</v>
      </c>
      <c r="M26" s="89">
        <f t="shared" si="37"/>
        <v>0</v>
      </c>
      <c r="N26" s="89">
        <f t="shared" si="37"/>
        <v>0</v>
      </c>
      <c r="O26" s="89">
        <f t="shared" si="37"/>
        <v>0</v>
      </c>
      <c r="P26" s="89">
        <f t="shared" si="37"/>
        <v>0</v>
      </c>
      <c r="Q26" s="89">
        <f t="shared" si="37"/>
        <v>0</v>
      </c>
      <c r="R26" s="89">
        <f t="shared" si="37"/>
        <v>0</v>
      </c>
      <c r="S26" s="89">
        <f t="shared" si="36"/>
        <v>146020.58504138287</v>
      </c>
      <c r="T26" s="2"/>
      <c r="U26" s="2"/>
      <c r="V26" s="2"/>
      <c r="AS26" s="78" t="s">
        <v>90</v>
      </c>
      <c r="AT26" s="78" t="s">
        <v>89</v>
      </c>
    </row>
    <row r="27" spans="1:47">
      <c r="A27" s="75">
        <v>21</v>
      </c>
      <c r="B27" s="78" t="s">
        <v>93</v>
      </c>
      <c r="C27" s="92">
        <f>C26/C9</f>
        <v>1.3725653144834593E-2</v>
      </c>
      <c r="D27" s="92">
        <f t="shared" ref="D27:S27" si="38">D26/D9</f>
        <v>1.0897444471905493E-2</v>
      </c>
      <c r="E27" s="92" t="e">
        <f t="shared" si="38"/>
        <v>#DIV/0!</v>
      </c>
      <c r="F27" s="92" t="e">
        <f t="shared" si="38"/>
        <v>#DIV/0!</v>
      </c>
      <c r="G27" s="92" t="e">
        <f t="shared" ref="G27:R27" si="39">G26/G9</f>
        <v>#DIV/0!</v>
      </c>
      <c r="H27" s="92" t="e">
        <f t="shared" si="39"/>
        <v>#DIV/0!</v>
      </c>
      <c r="I27" s="92" t="e">
        <f t="shared" si="39"/>
        <v>#DIV/0!</v>
      </c>
      <c r="J27" s="92" t="e">
        <f t="shared" si="39"/>
        <v>#DIV/0!</v>
      </c>
      <c r="K27" s="92" t="e">
        <f t="shared" si="39"/>
        <v>#DIV/0!</v>
      </c>
      <c r="L27" s="92" t="e">
        <f t="shared" si="39"/>
        <v>#DIV/0!</v>
      </c>
      <c r="M27" s="92" t="e">
        <f t="shared" si="39"/>
        <v>#DIV/0!</v>
      </c>
      <c r="N27" s="92" t="e">
        <f t="shared" si="39"/>
        <v>#DIV/0!</v>
      </c>
      <c r="O27" s="92" t="e">
        <f t="shared" si="39"/>
        <v>#DIV/0!</v>
      </c>
      <c r="P27" s="92" t="e">
        <f t="shared" si="39"/>
        <v>#DIV/0!</v>
      </c>
      <c r="Q27" s="92" t="e">
        <f t="shared" si="39"/>
        <v>#DIV/0!</v>
      </c>
      <c r="R27" s="92" t="e">
        <f t="shared" si="39"/>
        <v>#DIV/0!</v>
      </c>
      <c r="S27" s="92">
        <f t="shared" si="38"/>
        <v>1.2407903436616841E-2</v>
      </c>
      <c r="T27" s="2"/>
      <c r="U27" s="2"/>
      <c r="V27" s="2"/>
      <c r="AS27" s="78" t="s">
        <v>92</v>
      </c>
      <c r="AT27" s="78" t="s">
        <v>93</v>
      </c>
    </row>
    <row r="28" spans="1:47">
      <c r="T28" s="2"/>
      <c r="U28" s="2"/>
      <c r="V28" s="2"/>
    </row>
    <row r="29" spans="1:47">
      <c r="A29" s="71" t="s">
        <v>94</v>
      </c>
      <c r="S29" s="74" t="s">
        <v>147</v>
      </c>
      <c r="T29" s="2"/>
      <c r="U29" s="2"/>
      <c r="V29" s="2"/>
      <c r="AS29" s="71" t="s">
        <v>94</v>
      </c>
    </row>
    <row r="30" spans="1:47">
      <c r="A30" s="78" t="s">
        <v>95</v>
      </c>
      <c r="B30" s="83" t="s">
        <v>96</v>
      </c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2"/>
      <c r="U30" s="2"/>
      <c r="V30" s="2"/>
      <c r="X30" s="2"/>
      <c r="AS30" s="78" t="s">
        <v>97</v>
      </c>
      <c r="AT30" s="83" t="s">
        <v>96</v>
      </c>
    </row>
    <row r="31" spans="1:47">
      <c r="A31" s="75">
        <v>1</v>
      </c>
      <c r="B31" s="86" t="s">
        <v>98</v>
      </c>
      <c r="C31" s="93">
        <f>销量!C8</f>
        <v>314.25570085252076</v>
      </c>
      <c r="D31" s="93">
        <f>销量!D8</f>
        <v>274.16193870801516</v>
      </c>
      <c r="E31" s="93">
        <f>销量!E8</f>
        <v>0</v>
      </c>
      <c r="F31" s="93">
        <f>销量!F8</f>
        <v>0</v>
      </c>
      <c r="G31" s="93">
        <f>销量!G8</f>
        <v>0</v>
      </c>
      <c r="H31" s="93">
        <f>销量!H8</f>
        <v>0</v>
      </c>
      <c r="I31" s="93">
        <f>销量!I8</f>
        <v>0</v>
      </c>
      <c r="J31" s="93">
        <f>销量!J8</f>
        <v>0</v>
      </c>
      <c r="K31" s="93">
        <f>销量!K8</f>
        <v>0</v>
      </c>
      <c r="L31" s="93">
        <f>销量!L8</f>
        <v>0</v>
      </c>
      <c r="M31" s="93">
        <f>销量!M8</f>
        <v>0</v>
      </c>
      <c r="N31" s="93">
        <f>销量!N8</f>
        <v>0</v>
      </c>
      <c r="O31" s="93">
        <f>销量!O8</f>
        <v>0</v>
      </c>
      <c r="P31" s="93">
        <f>销量!P8</f>
        <v>0</v>
      </c>
      <c r="Q31" s="93">
        <f>销量!Q8</f>
        <v>0</v>
      </c>
      <c r="R31" s="93">
        <f>销量!R8</f>
        <v>0</v>
      </c>
      <c r="S31" s="89"/>
      <c r="T31" s="2"/>
      <c r="U31" s="2"/>
      <c r="V31" s="2"/>
      <c r="X31" s="2"/>
      <c r="AS31" s="78" t="s">
        <v>53</v>
      </c>
      <c r="AT31" s="78" t="s">
        <v>98</v>
      </c>
    </row>
    <row r="32" spans="1:47">
      <c r="A32" s="75">
        <v>2</v>
      </c>
      <c r="B32" s="78" t="s">
        <v>148</v>
      </c>
      <c r="C32" s="81">
        <f>C9/C6</f>
        <v>314.25570085252076</v>
      </c>
      <c r="D32" s="81">
        <f t="shared" ref="D32:F32" si="40">D9/D6</f>
        <v>274.16193870801516</v>
      </c>
      <c r="E32" s="81" t="e">
        <f t="shared" si="40"/>
        <v>#DIV/0!</v>
      </c>
      <c r="F32" s="81" t="e">
        <f t="shared" si="40"/>
        <v>#DIV/0!</v>
      </c>
      <c r="G32" s="81" t="e">
        <f t="shared" ref="G32:R32" si="41">G9/G6</f>
        <v>#DIV/0!</v>
      </c>
      <c r="H32" s="81" t="e">
        <f t="shared" si="41"/>
        <v>#DIV/0!</v>
      </c>
      <c r="I32" s="81" t="e">
        <f t="shared" si="41"/>
        <v>#DIV/0!</v>
      </c>
      <c r="J32" s="81" t="e">
        <f t="shared" si="41"/>
        <v>#DIV/0!</v>
      </c>
      <c r="K32" s="81" t="e">
        <f t="shared" si="41"/>
        <v>#DIV/0!</v>
      </c>
      <c r="L32" s="81" t="e">
        <f t="shared" si="41"/>
        <v>#DIV/0!</v>
      </c>
      <c r="M32" s="81" t="e">
        <f t="shared" si="41"/>
        <v>#DIV/0!</v>
      </c>
      <c r="N32" s="81" t="e">
        <f t="shared" si="41"/>
        <v>#DIV/0!</v>
      </c>
      <c r="O32" s="81" t="e">
        <f t="shared" si="41"/>
        <v>#DIV/0!</v>
      </c>
      <c r="P32" s="81" t="e">
        <f t="shared" si="41"/>
        <v>#DIV/0!</v>
      </c>
      <c r="Q32" s="81" t="e">
        <f t="shared" si="41"/>
        <v>#DIV/0!</v>
      </c>
      <c r="R32" s="81" t="e">
        <f t="shared" si="41"/>
        <v>#DIV/0!</v>
      </c>
      <c r="S32" s="89"/>
      <c r="T32" s="2"/>
      <c r="U32" s="2"/>
      <c r="V32" s="2"/>
      <c r="W32" s="2"/>
      <c r="X32" s="2"/>
      <c r="Y32" s="2"/>
      <c r="Z32" s="2"/>
      <c r="AS32" s="78"/>
      <c r="AT32" s="78"/>
    </row>
    <row r="33" spans="1:46">
      <c r="A33" s="75">
        <v>3</v>
      </c>
      <c r="B33" s="86" t="s">
        <v>99</v>
      </c>
      <c r="C33" s="81">
        <f>材料成本!D27</f>
        <v>219.97899059676453</v>
      </c>
      <c r="D33" s="81">
        <f>材料成本!E27</f>
        <v>191.91335709561059</v>
      </c>
      <c r="E33" s="81">
        <f>材料成本!F27</f>
        <v>0</v>
      </c>
      <c r="F33" s="81">
        <f>材料成本!G27</f>
        <v>0</v>
      </c>
      <c r="G33" s="81">
        <f>材料成本!H27</f>
        <v>0</v>
      </c>
      <c r="H33" s="81">
        <f>材料成本!I27</f>
        <v>0</v>
      </c>
      <c r="I33" s="81">
        <f>材料成本!J27</f>
        <v>0</v>
      </c>
      <c r="J33" s="81">
        <f>材料成本!K27</f>
        <v>0</v>
      </c>
      <c r="K33" s="81">
        <f>材料成本!L27</f>
        <v>0</v>
      </c>
      <c r="L33" s="81">
        <f>材料成本!M27</f>
        <v>0</v>
      </c>
      <c r="M33" s="81">
        <f>材料成本!N27</f>
        <v>0</v>
      </c>
      <c r="N33" s="81">
        <f>材料成本!O27</f>
        <v>0</v>
      </c>
      <c r="O33" s="81">
        <f>材料成本!P27</f>
        <v>0</v>
      </c>
      <c r="P33" s="81">
        <f>材料成本!Q27</f>
        <v>0</v>
      </c>
      <c r="Q33" s="81">
        <f>材料成本!R27</f>
        <v>0</v>
      </c>
      <c r="R33" s="81">
        <f>材料成本!S27</f>
        <v>0</v>
      </c>
      <c r="S33" s="89"/>
      <c r="U33" s="2"/>
      <c r="V33" s="2"/>
      <c r="W33" s="2"/>
      <c r="X33" s="2"/>
      <c r="Y33" s="2"/>
      <c r="Z33" s="2"/>
      <c r="AS33" s="78" t="s">
        <v>55</v>
      </c>
      <c r="AT33" s="78" t="s">
        <v>99</v>
      </c>
    </row>
    <row r="34" spans="1:46" ht="17.25" customHeight="1">
      <c r="A34" s="75">
        <v>4</v>
      </c>
      <c r="B34" s="78" t="s">
        <v>101</v>
      </c>
      <c r="C34" s="94">
        <f>C32-C33</f>
        <v>94.276710255756228</v>
      </c>
      <c r="D34" s="94">
        <f>D32-D33</f>
        <v>82.248581612404564</v>
      </c>
      <c r="E34" s="94" t="e">
        <f t="shared" ref="E34:F34" si="42">E32-E33</f>
        <v>#DIV/0!</v>
      </c>
      <c r="F34" s="94" t="e">
        <f t="shared" si="42"/>
        <v>#DIV/0!</v>
      </c>
      <c r="G34" s="94" t="e">
        <f t="shared" ref="G34:R34" si="43">G32-G33</f>
        <v>#DIV/0!</v>
      </c>
      <c r="H34" s="94" t="e">
        <f t="shared" si="43"/>
        <v>#DIV/0!</v>
      </c>
      <c r="I34" s="94" t="e">
        <f t="shared" si="43"/>
        <v>#DIV/0!</v>
      </c>
      <c r="J34" s="94" t="e">
        <f t="shared" si="43"/>
        <v>#DIV/0!</v>
      </c>
      <c r="K34" s="94" t="e">
        <f t="shared" si="43"/>
        <v>#DIV/0!</v>
      </c>
      <c r="L34" s="94" t="e">
        <f t="shared" si="43"/>
        <v>#DIV/0!</v>
      </c>
      <c r="M34" s="94" t="e">
        <f t="shared" si="43"/>
        <v>#DIV/0!</v>
      </c>
      <c r="N34" s="94" t="e">
        <f t="shared" si="43"/>
        <v>#DIV/0!</v>
      </c>
      <c r="O34" s="94" t="e">
        <f t="shared" si="43"/>
        <v>#DIV/0!</v>
      </c>
      <c r="P34" s="94" t="e">
        <f t="shared" si="43"/>
        <v>#DIV/0!</v>
      </c>
      <c r="Q34" s="94" t="e">
        <f t="shared" si="43"/>
        <v>#DIV/0!</v>
      </c>
      <c r="R34" s="94" t="e">
        <f t="shared" si="43"/>
        <v>#DIV/0!</v>
      </c>
      <c r="S34" s="89"/>
      <c r="U34" s="2"/>
      <c r="V34" s="2"/>
      <c r="W34" s="2"/>
      <c r="X34" s="2"/>
      <c r="Y34" s="2"/>
      <c r="Z34" s="2"/>
      <c r="AS34" s="78" t="s">
        <v>100</v>
      </c>
      <c r="AT34" s="78" t="s">
        <v>101</v>
      </c>
    </row>
    <row r="35" spans="1:46">
      <c r="A35" s="78" t="s">
        <v>97</v>
      </c>
      <c r="B35" s="83" t="s">
        <v>9</v>
      </c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2"/>
      <c r="U35" s="2"/>
      <c r="V35" s="2"/>
      <c r="W35" s="2"/>
      <c r="X35" s="2"/>
      <c r="Y35" s="2"/>
      <c r="Z35" s="2"/>
      <c r="AA35" s="2"/>
      <c r="AB35" s="2"/>
      <c r="AC35" s="2"/>
      <c r="AS35" s="78" t="s">
        <v>103</v>
      </c>
      <c r="AT35" s="83" t="s">
        <v>9</v>
      </c>
    </row>
    <row r="36" spans="1:46">
      <c r="A36" s="75">
        <v>1</v>
      </c>
      <c r="B36" s="78" t="s">
        <v>104</v>
      </c>
      <c r="C36" s="87">
        <f>'2026年'!C36</f>
        <v>25.077604928031157</v>
      </c>
      <c r="D36" s="87">
        <f>'2026年'!D36</f>
        <v>21.878122708899607</v>
      </c>
      <c r="E36" s="87">
        <f>'2026年'!E36</f>
        <v>0</v>
      </c>
      <c r="F36" s="87">
        <f>'2026年'!F36</f>
        <v>0</v>
      </c>
      <c r="G36" s="87">
        <f>'2026年'!G36</f>
        <v>0</v>
      </c>
      <c r="H36" s="87">
        <f>'2026年'!H36</f>
        <v>0</v>
      </c>
      <c r="I36" s="87">
        <f>'2026年'!I36</f>
        <v>0</v>
      </c>
      <c r="J36" s="87">
        <f>'2026年'!J36</f>
        <v>0</v>
      </c>
      <c r="K36" s="87">
        <f>'2026年'!K36</f>
        <v>0</v>
      </c>
      <c r="L36" s="87">
        <f>'2026年'!L36</f>
        <v>0</v>
      </c>
      <c r="M36" s="87">
        <f>'2026年'!M36</f>
        <v>0</v>
      </c>
      <c r="N36" s="87">
        <f>'2026年'!N36</f>
        <v>0</v>
      </c>
      <c r="O36" s="87">
        <f>'2026年'!O36</f>
        <v>0</v>
      </c>
      <c r="P36" s="87">
        <f>'2026年'!P36</f>
        <v>0</v>
      </c>
      <c r="Q36" s="87">
        <f>'2026年'!Q36</f>
        <v>0</v>
      </c>
      <c r="R36" s="87">
        <f>'2026年'!R36</f>
        <v>0</v>
      </c>
      <c r="S36" s="93"/>
      <c r="T36" s="2"/>
      <c r="U36" s="2"/>
      <c r="V36" s="2"/>
      <c r="W36" s="2"/>
      <c r="X36" s="2"/>
      <c r="Y36" s="2"/>
      <c r="Z36" s="2"/>
      <c r="AA36" s="2"/>
      <c r="AB36" s="2"/>
      <c r="AC36" s="2"/>
      <c r="AS36" s="78" t="s">
        <v>100</v>
      </c>
      <c r="AT36" s="78" t="s">
        <v>104</v>
      </c>
    </row>
    <row r="37" spans="1:46">
      <c r="A37" s="75">
        <v>2</v>
      </c>
      <c r="B37" s="78" t="s">
        <v>105</v>
      </c>
      <c r="C37" s="87">
        <f>'2026年'!C37</f>
        <v>16.498424294757342</v>
      </c>
      <c r="D37" s="87">
        <f>'2026年'!D37</f>
        <v>14.393501782170796</v>
      </c>
      <c r="E37" s="87">
        <f>'2026年'!E37</f>
        <v>0</v>
      </c>
      <c r="F37" s="87">
        <f>'2026年'!F37</f>
        <v>0</v>
      </c>
      <c r="G37" s="87">
        <f>'2026年'!G37</f>
        <v>0</v>
      </c>
      <c r="H37" s="87">
        <f>'2026年'!H37</f>
        <v>0</v>
      </c>
      <c r="I37" s="87">
        <f>'2026年'!I37</f>
        <v>0</v>
      </c>
      <c r="J37" s="87">
        <f>'2026年'!J37</f>
        <v>0</v>
      </c>
      <c r="K37" s="87">
        <f>'2026年'!K37</f>
        <v>0</v>
      </c>
      <c r="L37" s="87">
        <f>'2026年'!L37</f>
        <v>0</v>
      </c>
      <c r="M37" s="87">
        <f>'2026年'!M37</f>
        <v>0</v>
      </c>
      <c r="N37" s="87">
        <f>'2026年'!N37</f>
        <v>0</v>
      </c>
      <c r="O37" s="87">
        <f>'2026年'!O37</f>
        <v>0</v>
      </c>
      <c r="P37" s="87">
        <f>'2026年'!P37</f>
        <v>0</v>
      </c>
      <c r="Q37" s="87">
        <f>'2026年'!Q37</f>
        <v>0</v>
      </c>
      <c r="R37" s="87">
        <f>'2026年'!R37</f>
        <v>0</v>
      </c>
      <c r="S37" s="93"/>
      <c r="T37" s="2"/>
      <c r="U37" s="2"/>
      <c r="V37" s="2"/>
      <c r="W37" s="2"/>
      <c r="X37" s="2"/>
      <c r="Y37" s="2"/>
      <c r="Z37" s="2"/>
      <c r="AA37" s="2"/>
      <c r="AB37" s="2"/>
      <c r="AC37" s="2"/>
      <c r="AS37" s="78" t="s">
        <v>58</v>
      </c>
      <c r="AT37" s="78" t="s">
        <v>105</v>
      </c>
    </row>
    <row r="38" spans="1:46">
      <c r="A38" s="75">
        <v>3</v>
      </c>
      <c r="B38" s="78" t="s">
        <v>106</v>
      </c>
      <c r="C38" s="87">
        <f>'2026年'!C38</f>
        <v>7.3535833999489846</v>
      </c>
      <c r="D38" s="87">
        <f>'2026年'!D38</f>
        <v>6.4153893657675543</v>
      </c>
      <c r="E38" s="87">
        <f>'2026年'!E38</f>
        <v>0</v>
      </c>
      <c r="F38" s="87">
        <f>'2026年'!F38</f>
        <v>0</v>
      </c>
      <c r="G38" s="87">
        <f>'2026年'!G38</f>
        <v>0</v>
      </c>
      <c r="H38" s="87">
        <f>'2026年'!H38</f>
        <v>0</v>
      </c>
      <c r="I38" s="87">
        <f>'2026年'!I38</f>
        <v>0</v>
      </c>
      <c r="J38" s="87">
        <f>'2026年'!J38</f>
        <v>0</v>
      </c>
      <c r="K38" s="87">
        <f>'2026年'!K38</f>
        <v>0</v>
      </c>
      <c r="L38" s="87">
        <f>'2026年'!L38</f>
        <v>0</v>
      </c>
      <c r="M38" s="87">
        <f>'2026年'!M38</f>
        <v>0</v>
      </c>
      <c r="N38" s="87">
        <f>'2026年'!N38</f>
        <v>0</v>
      </c>
      <c r="O38" s="87">
        <f>'2026年'!O38</f>
        <v>0</v>
      </c>
      <c r="P38" s="87">
        <f>'2026年'!P38</f>
        <v>0</v>
      </c>
      <c r="Q38" s="87">
        <f>'2026年'!Q38</f>
        <v>0</v>
      </c>
      <c r="R38" s="87">
        <f>'2026年'!R38</f>
        <v>0</v>
      </c>
      <c r="S38" s="93"/>
      <c r="T38" s="2"/>
      <c r="U38" s="2"/>
      <c r="V38" s="2"/>
      <c r="W38" s="2"/>
      <c r="X38" s="2"/>
      <c r="Y38" s="2"/>
      <c r="Z38" s="2"/>
      <c r="AA38" s="2"/>
      <c r="AB38" s="2"/>
      <c r="AC38" s="2"/>
      <c r="AS38" s="78" t="s">
        <v>64</v>
      </c>
      <c r="AT38" s="78" t="s">
        <v>106</v>
      </c>
    </row>
    <row r="39" spans="1:46">
      <c r="A39" s="78" t="s">
        <v>103</v>
      </c>
      <c r="B39" s="83" t="s">
        <v>108</v>
      </c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AS39" s="78" t="s">
        <v>107</v>
      </c>
      <c r="AT39" s="83" t="s">
        <v>108</v>
      </c>
    </row>
    <row r="40" spans="1:46">
      <c r="A40" s="75">
        <v>1</v>
      </c>
      <c r="B40" s="78" t="s">
        <v>109</v>
      </c>
      <c r="C40" s="89">
        <f>C34-C36-C37-C38</f>
        <v>45.347097633018748</v>
      </c>
      <c r="D40" s="89">
        <f>D34-D36-D37-D38</f>
        <v>39.561567755566607</v>
      </c>
      <c r="E40" s="89" t="e">
        <f t="shared" ref="E40:F40" si="44">E34-E36-E37-E38</f>
        <v>#DIV/0!</v>
      </c>
      <c r="F40" s="89" t="e">
        <f t="shared" si="44"/>
        <v>#DIV/0!</v>
      </c>
      <c r="G40" s="89" t="e">
        <f t="shared" ref="G40:R40" si="45">G34-G36-G37-G38</f>
        <v>#DIV/0!</v>
      </c>
      <c r="H40" s="89" t="e">
        <f t="shared" si="45"/>
        <v>#DIV/0!</v>
      </c>
      <c r="I40" s="89" t="e">
        <f t="shared" si="45"/>
        <v>#DIV/0!</v>
      </c>
      <c r="J40" s="89" t="e">
        <f t="shared" si="45"/>
        <v>#DIV/0!</v>
      </c>
      <c r="K40" s="89" t="e">
        <f t="shared" si="45"/>
        <v>#DIV/0!</v>
      </c>
      <c r="L40" s="89" t="e">
        <f t="shared" si="45"/>
        <v>#DIV/0!</v>
      </c>
      <c r="M40" s="89" t="e">
        <f t="shared" si="45"/>
        <v>#DIV/0!</v>
      </c>
      <c r="N40" s="89" t="e">
        <f t="shared" si="45"/>
        <v>#DIV/0!</v>
      </c>
      <c r="O40" s="89" t="e">
        <f t="shared" si="45"/>
        <v>#DIV/0!</v>
      </c>
      <c r="P40" s="89" t="e">
        <f t="shared" si="45"/>
        <v>#DIV/0!</v>
      </c>
      <c r="Q40" s="89" t="e">
        <f t="shared" si="45"/>
        <v>#DIV/0!</v>
      </c>
      <c r="R40" s="89" t="e">
        <f t="shared" si="45"/>
        <v>#DIV/0!</v>
      </c>
      <c r="S40" s="89"/>
      <c r="AS40" s="78" t="s">
        <v>53</v>
      </c>
      <c r="AT40" s="78" t="s">
        <v>109</v>
      </c>
    </row>
    <row r="41" spans="1:46">
      <c r="A41" s="75">
        <v>2</v>
      </c>
      <c r="B41" s="78" t="s">
        <v>110</v>
      </c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AS41" s="78" t="s">
        <v>55</v>
      </c>
      <c r="AT41" s="78" t="s">
        <v>110</v>
      </c>
    </row>
    <row r="42" spans="1:46">
      <c r="A42" s="78" t="s">
        <v>107</v>
      </c>
      <c r="B42" s="83" t="s">
        <v>112</v>
      </c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AS42" s="78" t="s">
        <v>111</v>
      </c>
      <c r="AT42" s="83" t="s">
        <v>112</v>
      </c>
    </row>
    <row r="43" spans="1:46">
      <c r="A43" s="75">
        <v>1</v>
      </c>
      <c r="B43" s="90" t="s">
        <v>113</v>
      </c>
      <c r="C43" s="87">
        <f>'2026年'!C43</f>
        <v>19.892385863964563</v>
      </c>
      <c r="D43" s="87">
        <f>'2026年'!D43</f>
        <v>17.354450720217358</v>
      </c>
      <c r="E43" s="87">
        <f>'2026年'!E43</f>
        <v>0</v>
      </c>
      <c r="F43" s="87">
        <f>'2026年'!F43</f>
        <v>0</v>
      </c>
      <c r="G43" s="87">
        <f>'2026年'!G43</f>
        <v>0</v>
      </c>
      <c r="H43" s="87">
        <f>'2026年'!H43</f>
        <v>0</v>
      </c>
      <c r="I43" s="87">
        <f>'2026年'!I43</f>
        <v>0</v>
      </c>
      <c r="J43" s="87">
        <f>'2026年'!J43</f>
        <v>0</v>
      </c>
      <c r="K43" s="87">
        <f>'2026年'!K43</f>
        <v>0</v>
      </c>
      <c r="L43" s="87">
        <f>'2026年'!L43</f>
        <v>0</v>
      </c>
      <c r="M43" s="87">
        <f>'2026年'!M43</f>
        <v>0</v>
      </c>
      <c r="N43" s="87">
        <f>'2026年'!N43</f>
        <v>0</v>
      </c>
      <c r="O43" s="87">
        <f>'2026年'!O43</f>
        <v>0</v>
      </c>
      <c r="P43" s="87">
        <f>'2026年'!P43</f>
        <v>0</v>
      </c>
      <c r="Q43" s="87">
        <f>'2026年'!Q43</f>
        <v>0</v>
      </c>
      <c r="R43" s="87">
        <f>'2026年'!R43</f>
        <v>0</v>
      </c>
      <c r="S43" s="89"/>
      <c r="AS43" s="78" t="s">
        <v>53</v>
      </c>
      <c r="AT43" s="78" t="s">
        <v>113</v>
      </c>
    </row>
    <row r="44" spans="1:46">
      <c r="A44" s="75">
        <v>2</v>
      </c>
      <c r="B44" s="90" t="s">
        <v>114</v>
      </c>
      <c r="C44" s="87">
        <f>'2026年'!C44</f>
        <v>0</v>
      </c>
      <c r="D44" s="87">
        <f>'2026年'!D44</f>
        <v>0</v>
      </c>
      <c r="E44" s="87">
        <f>'2026年'!E44</f>
        <v>0</v>
      </c>
      <c r="F44" s="87">
        <f>'2026年'!F44</f>
        <v>0</v>
      </c>
      <c r="G44" s="87">
        <f>'2026年'!G44</f>
        <v>0</v>
      </c>
      <c r="H44" s="87">
        <f>'2026年'!H44</f>
        <v>0</v>
      </c>
      <c r="I44" s="87">
        <f>'2026年'!I44</f>
        <v>0</v>
      </c>
      <c r="J44" s="87">
        <f>'2026年'!J44</f>
        <v>0</v>
      </c>
      <c r="K44" s="87">
        <f>'2026年'!K44</f>
        <v>0</v>
      </c>
      <c r="L44" s="87">
        <f>'2026年'!L44</f>
        <v>0</v>
      </c>
      <c r="M44" s="87">
        <f>'2026年'!M44</f>
        <v>0</v>
      </c>
      <c r="N44" s="87">
        <f>'2026年'!N44</f>
        <v>0</v>
      </c>
      <c r="O44" s="87">
        <f>'2026年'!O44</f>
        <v>0</v>
      </c>
      <c r="P44" s="87">
        <f>'2026年'!P44</f>
        <v>0</v>
      </c>
      <c r="Q44" s="87">
        <f>'2026年'!Q44</f>
        <v>0</v>
      </c>
      <c r="R44" s="87">
        <f>'2026年'!R44</f>
        <v>0</v>
      </c>
      <c r="S44" s="89"/>
      <c r="AS44" s="78" t="s">
        <v>55</v>
      </c>
      <c r="AT44" s="78" t="s">
        <v>114</v>
      </c>
    </row>
    <row r="45" spans="1:46">
      <c r="A45" s="75">
        <v>3</v>
      </c>
      <c r="B45" s="90" t="s">
        <v>115</v>
      </c>
      <c r="C45" s="87">
        <f>'2026年'!C45</f>
        <v>1.5398529341773517</v>
      </c>
      <c r="D45" s="87">
        <f>'2026年'!D45</f>
        <v>1.3433934996692742</v>
      </c>
      <c r="E45" s="87">
        <f>'2026年'!E45</f>
        <v>0</v>
      </c>
      <c r="F45" s="87">
        <f>'2026年'!F45</f>
        <v>0</v>
      </c>
      <c r="G45" s="87">
        <f>'2026年'!G45</f>
        <v>0</v>
      </c>
      <c r="H45" s="87">
        <f>'2026年'!H45</f>
        <v>0</v>
      </c>
      <c r="I45" s="87">
        <f>'2026年'!I45</f>
        <v>0</v>
      </c>
      <c r="J45" s="87">
        <f>'2026年'!J45</f>
        <v>0</v>
      </c>
      <c r="K45" s="87">
        <f>'2026年'!K45</f>
        <v>0</v>
      </c>
      <c r="L45" s="87">
        <f>'2026年'!L45</f>
        <v>0</v>
      </c>
      <c r="M45" s="87">
        <f>'2026年'!M45</f>
        <v>0</v>
      </c>
      <c r="N45" s="87">
        <f>'2026年'!N45</f>
        <v>0</v>
      </c>
      <c r="O45" s="87">
        <f>'2026年'!O45</f>
        <v>0</v>
      </c>
      <c r="P45" s="87">
        <f>'2026年'!P45</f>
        <v>0</v>
      </c>
      <c r="Q45" s="87">
        <f>'2026年'!Q45</f>
        <v>0</v>
      </c>
      <c r="R45" s="87">
        <f>'2026年'!R45</f>
        <v>0</v>
      </c>
      <c r="S45" s="89"/>
      <c r="AS45" s="78" t="s">
        <v>100</v>
      </c>
      <c r="AT45" s="78" t="s">
        <v>115</v>
      </c>
    </row>
    <row r="46" spans="1:46" s="73" customFormat="1">
      <c r="A46" s="75">
        <v>4</v>
      </c>
      <c r="B46" s="90" t="s">
        <v>116</v>
      </c>
      <c r="C46" s="95">
        <f>C21/C6</f>
        <v>0.5</v>
      </c>
      <c r="D46" s="95">
        <f>D21/D6</f>
        <v>0.5</v>
      </c>
      <c r="E46" s="95" t="e">
        <f t="shared" ref="E46:F46" si="46">E21/E6</f>
        <v>#DIV/0!</v>
      </c>
      <c r="F46" s="95" t="e">
        <f t="shared" si="46"/>
        <v>#DIV/0!</v>
      </c>
      <c r="G46" s="95" t="e">
        <f t="shared" ref="G46:R46" si="47">G21/G6</f>
        <v>#DIV/0!</v>
      </c>
      <c r="H46" s="95" t="e">
        <f t="shared" si="47"/>
        <v>#DIV/0!</v>
      </c>
      <c r="I46" s="95" t="e">
        <f t="shared" si="47"/>
        <v>#DIV/0!</v>
      </c>
      <c r="J46" s="95" t="e">
        <f t="shared" si="47"/>
        <v>#DIV/0!</v>
      </c>
      <c r="K46" s="95" t="e">
        <f t="shared" si="47"/>
        <v>#DIV/0!</v>
      </c>
      <c r="L46" s="95" t="e">
        <f t="shared" si="47"/>
        <v>#DIV/0!</v>
      </c>
      <c r="M46" s="95" t="e">
        <f t="shared" si="47"/>
        <v>#DIV/0!</v>
      </c>
      <c r="N46" s="95" t="e">
        <f t="shared" si="47"/>
        <v>#DIV/0!</v>
      </c>
      <c r="O46" s="95" t="e">
        <f t="shared" si="47"/>
        <v>#DIV/0!</v>
      </c>
      <c r="P46" s="95" t="e">
        <f t="shared" si="47"/>
        <v>#DIV/0!</v>
      </c>
      <c r="Q46" s="95" t="e">
        <f t="shared" si="47"/>
        <v>#DIV/0!</v>
      </c>
      <c r="R46" s="95" t="e">
        <f t="shared" si="47"/>
        <v>#DIV/0!</v>
      </c>
      <c r="S46" s="95"/>
      <c r="AS46" s="90" t="s">
        <v>60</v>
      </c>
      <c r="AT46" s="90" t="s">
        <v>118</v>
      </c>
    </row>
    <row r="47" spans="1:46" s="73" customFormat="1">
      <c r="A47" s="75">
        <v>5</v>
      </c>
      <c r="B47" s="90" t="s">
        <v>118</v>
      </c>
      <c r="C47" s="87">
        <f>'2026年'!C47</f>
        <v>11.690312071713771</v>
      </c>
      <c r="D47" s="87">
        <f>'2026年'!D47</f>
        <v>10.198824119938163</v>
      </c>
      <c r="E47" s="87">
        <f>'2026年'!E47</f>
        <v>0</v>
      </c>
      <c r="F47" s="87">
        <f>'2026年'!F47</f>
        <v>0</v>
      </c>
      <c r="G47" s="87">
        <f>'2026年'!G47</f>
        <v>0</v>
      </c>
      <c r="H47" s="87">
        <f>'2026年'!H47</f>
        <v>0</v>
      </c>
      <c r="I47" s="87">
        <f>'2026年'!I47</f>
        <v>0</v>
      </c>
      <c r="J47" s="87">
        <f>'2026年'!J47</f>
        <v>0</v>
      </c>
      <c r="K47" s="87">
        <f>'2026年'!K47</f>
        <v>0</v>
      </c>
      <c r="L47" s="87">
        <f>'2026年'!L47</f>
        <v>0</v>
      </c>
      <c r="M47" s="87">
        <f>'2026年'!M47</f>
        <v>0</v>
      </c>
      <c r="N47" s="87">
        <f>'2026年'!N47</f>
        <v>0</v>
      </c>
      <c r="O47" s="87">
        <f>'2026年'!O47</f>
        <v>0</v>
      </c>
      <c r="P47" s="87">
        <f>'2026年'!P47</f>
        <v>0</v>
      </c>
      <c r="Q47" s="87">
        <f>'2026年'!Q47</f>
        <v>0</v>
      </c>
      <c r="R47" s="87">
        <f>'2026年'!R47</f>
        <v>0</v>
      </c>
      <c r="S47" s="95"/>
      <c r="AS47" s="90" t="s">
        <v>60</v>
      </c>
      <c r="AT47" s="90" t="s">
        <v>118</v>
      </c>
    </row>
    <row r="48" spans="1:46">
      <c r="A48" s="78" t="s">
        <v>111</v>
      </c>
      <c r="B48" s="83" t="s">
        <v>129</v>
      </c>
      <c r="C48" s="89">
        <f>C40-C43-C44-C45-C47-C46</f>
        <v>11.724546763163064</v>
      </c>
      <c r="D48" s="89">
        <f>D40-D43-D44-D45-D47-D46</f>
        <v>10.164899415741811</v>
      </c>
      <c r="E48" s="89" t="e">
        <f t="shared" ref="E48:F48" si="48">E40-E43-E44-E45-E47-E46</f>
        <v>#DIV/0!</v>
      </c>
      <c r="F48" s="89" t="e">
        <f t="shared" si="48"/>
        <v>#DIV/0!</v>
      </c>
      <c r="G48" s="89" t="e">
        <f t="shared" ref="G48:R48" si="49">G40-G43-G44-G45-G47-G46</f>
        <v>#DIV/0!</v>
      </c>
      <c r="H48" s="89" t="e">
        <f t="shared" si="49"/>
        <v>#DIV/0!</v>
      </c>
      <c r="I48" s="89" t="e">
        <f t="shared" si="49"/>
        <v>#DIV/0!</v>
      </c>
      <c r="J48" s="89" t="e">
        <f t="shared" si="49"/>
        <v>#DIV/0!</v>
      </c>
      <c r="K48" s="89" t="e">
        <f t="shared" si="49"/>
        <v>#DIV/0!</v>
      </c>
      <c r="L48" s="89" t="e">
        <f t="shared" si="49"/>
        <v>#DIV/0!</v>
      </c>
      <c r="M48" s="89" t="e">
        <f t="shared" si="49"/>
        <v>#DIV/0!</v>
      </c>
      <c r="N48" s="89" t="e">
        <f t="shared" si="49"/>
        <v>#DIV/0!</v>
      </c>
      <c r="O48" s="89" t="e">
        <f t="shared" si="49"/>
        <v>#DIV/0!</v>
      </c>
      <c r="P48" s="89" t="e">
        <f t="shared" si="49"/>
        <v>#DIV/0!</v>
      </c>
      <c r="Q48" s="89" t="e">
        <f t="shared" si="49"/>
        <v>#DIV/0!</v>
      </c>
      <c r="R48" s="89" t="e">
        <f t="shared" si="49"/>
        <v>#DIV/0!</v>
      </c>
      <c r="S48" s="89"/>
      <c r="AS48" s="78" t="s">
        <v>128</v>
      </c>
      <c r="AT48" s="83" t="s">
        <v>129</v>
      </c>
    </row>
    <row r="51" spans="2:24"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</row>
    <row r="54" spans="2:24">
      <c r="B54" s="2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2"/>
      <c r="U54" s="2"/>
      <c r="V54" s="2"/>
      <c r="W54" s="2"/>
      <c r="X54" s="2"/>
    </row>
    <row r="55" spans="2:24">
      <c r="B55" s="2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2"/>
      <c r="U55" s="2"/>
      <c r="V55" s="2"/>
      <c r="W55" s="2"/>
      <c r="X55" s="2"/>
    </row>
    <row r="56" spans="2:24">
      <c r="B56" s="2"/>
      <c r="C56" s="97"/>
      <c r="D56" s="97"/>
      <c r="E56" s="97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2"/>
      <c r="U56" s="2"/>
      <c r="V56" s="2"/>
      <c r="W56" s="2"/>
      <c r="X56" s="2"/>
    </row>
    <row r="57" spans="2:24">
      <c r="B57" s="2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2"/>
      <c r="U57" s="2"/>
      <c r="V57" s="2"/>
      <c r="W57" s="2"/>
      <c r="X57" s="2"/>
    </row>
    <row r="58" spans="2:24">
      <c r="B58" s="2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2"/>
      <c r="U58" s="2"/>
      <c r="V58" s="2"/>
      <c r="W58" s="2"/>
      <c r="X58" s="2"/>
    </row>
    <row r="59" spans="2:24">
      <c r="B59" s="2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2"/>
      <c r="U59" s="2"/>
      <c r="V59" s="2"/>
      <c r="W59" s="2"/>
      <c r="X59" s="2"/>
    </row>
    <row r="60" spans="2:24">
      <c r="B60" s="2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2"/>
      <c r="U60" s="2"/>
      <c r="V60" s="2"/>
      <c r="W60" s="2"/>
      <c r="X60" s="2"/>
    </row>
    <row r="61" spans="2:24">
      <c r="B61" s="2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2"/>
      <c r="U61" s="2"/>
      <c r="V61" s="2"/>
      <c r="W61" s="2"/>
      <c r="X61" s="2"/>
    </row>
    <row r="62" spans="2:24">
      <c r="B62" s="2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2"/>
      <c r="U62" s="2"/>
      <c r="V62" s="2"/>
      <c r="W62" s="2"/>
      <c r="X62" s="2"/>
    </row>
    <row r="63" spans="2:24">
      <c r="B63" s="2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2"/>
      <c r="U63" s="2"/>
      <c r="V63" s="2"/>
      <c r="W63" s="2"/>
      <c r="X63" s="2"/>
    </row>
    <row r="64" spans="2:24">
      <c r="B64" s="2"/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2"/>
      <c r="U64" s="2"/>
      <c r="V64" s="2"/>
      <c r="W64" s="2"/>
      <c r="X64" s="2"/>
    </row>
    <row r="65" spans="2:24">
      <c r="B65" s="2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2"/>
      <c r="U65" s="2"/>
      <c r="V65" s="2"/>
      <c r="W65" s="2"/>
      <c r="X65" s="2"/>
    </row>
    <row r="66" spans="2:24">
      <c r="B66" s="2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2"/>
      <c r="U66" s="2"/>
      <c r="V66" s="2"/>
      <c r="W66" s="2"/>
      <c r="X66" s="2"/>
    </row>
    <row r="67" spans="2:24">
      <c r="B67" s="2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2"/>
    </row>
    <row r="68" spans="2:24">
      <c r="B68" s="2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2"/>
    </row>
    <row r="69" spans="2:24">
      <c r="B69" s="2"/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2"/>
    </row>
    <row r="70" spans="2:24">
      <c r="B70" s="2"/>
      <c r="C70" s="97"/>
      <c r="D70" s="97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2"/>
    </row>
    <row r="71" spans="2:24">
      <c r="B71" s="2"/>
      <c r="C71" s="97"/>
      <c r="D71" s="97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2"/>
    </row>
    <row r="72" spans="2:24">
      <c r="B72" s="2"/>
      <c r="C72" s="97"/>
      <c r="D72" s="97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2"/>
    </row>
    <row r="73" spans="2:24">
      <c r="B73" s="2"/>
      <c r="C73" s="97"/>
      <c r="D73" s="97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2"/>
    </row>
    <row r="74" spans="2:24">
      <c r="B74" s="2"/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2"/>
    </row>
  </sheetData>
  <mergeCells count="8">
    <mergeCell ref="A4:B4"/>
    <mergeCell ref="A5:B5"/>
    <mergeCell ref="S3:S5"/>
    <mergeCell ref="A1:B1"/>
    <mergeCell ref="C1:S1"/>
    <mergeCell ref="A2:B2"/>
    <mergeCell ref="C2:S2"/>
    <mergeCell ref="A3:B3"/>
  </mergeCells>
  <phoneticPr fontId="45" type="noConversion"/>
  <printOptions horizontalCentered="1"/>
  <pageMargins left="0.39370078740157499" right="0.31496062992126" top="0.35433070866141703" bottom="0.15748031496063" header="0.31496062992126" footer="0.31496062992126"/>
  <pageSetup paperSize="9" orientation="landscape"/>
  <rowBreaks count="1" manualBreakCount="1">
    <brk id="28" max="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4"/>
  <sheetViews>
    <sheetView zoomScale="90" zoomScaleNormal="90" workbookViewId="0">
      <pane xSplit="2" ySplit="6" topLeftCell="K13" activePane="bottomRight" state="frozen"/>
      <selection pane="topRight" activeCell="C1" sqref="C1"/>
      <selection pane="bottomLeft" activeCell="A7" sqref="A7"/>
      <selection pane="bottomRight" activeCell="S24" sqref="S24"/>
    </sheetView>
  </sheetViews>
  <sheetFormatPr defaultColWidth="9" defaultRowHeight="16.5"/>
  <cols>
    <col min="1" max="1" width="5.125" style="71" customWidth="1"/>
    <col min="2" max="2" width="17.5" style="71" customWidth="1"/>
    <col min="3" max="18" width="14.375" style="74" customWidth="1"/>
    <col min="19" max="19" width="18.75" style="74" customWidth="1"/>
    <col min="20" max="20" width="12.375" style="71" customWidth="1"/>
    <col min="21" max="21" width="10.125" style="71" customWidth="1"/>
    <col min="22" max="28" width="9" style="71" customWidth="1"/>
    <col min="29" max="16384" width="9" style="71"/>
  </cols>
  <sheetData>
    <row r="1" spans="1:22">
      <c r="A1" s="241" t="s">
        <v>139</v>
      </c>
      <c r="B1" s="241"/>
      <c r="C1" s="245" t="s">
        <v>288</v>
      </c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7"/>
    </row>
    <row r="2" spans="1:22">
      <c r="A2" s="241" t="s">
        <v>140</v>
      </c>
      <c r="B2" s="241"/>
      <c r="C2" s="248" t="str">
        <f>'2026年'!$C$2</f>
        <v>光华海外工厂——戴姆勒卡车集团DTAG</v>
      </c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</row>
    <row r="3" spans="1:22" ht="22.5">
      <c r="A3" s="241" t="s">
        <v>141</v>
      </c>
      <c r="B3" s="241"/>
      <c r="C3" s="76" t="str">
        <f>'2026年'!C3</f>
        <v>3.0海外出口配件靠背骨架-电动</v>
      </c>
      <c r="D3" s="76" t="str">
        <f>'2026年'!D3</f>
        <v>3.0海外出口配件靠背骨架-手动</v>
      </c>
      <c r="E3" s="76">
        <f>'2026年'!E3</f>
        <v>0</v>
      </c>
      <c r="F3" s="76">
        <f>'2026年'!F3</f>
        <v>0</v>
      </c>
      <c r="G3" s="76">
        <f>'2026年'!G3</f>
        <v>0</v>
      </c>
      <c r="H3" s="76">
        <f>'2026年'!H3</f>
        <v>0</v>
      </c>
      <c r="I3" s="76">
        <f>'2026年'!I3</f>
        <v>0</v>
      </c>
      <c r="J3" s="76">
        <f>'2026年'!J3</f>
        <v>0</v>
      </c>
      <c r="K3" s="76">
        <f>'2026年'!K3</f>
        <v>0</v>
      </c>
      <c r="L3" s="76">
        <f>'2026年'!L3</f>
        <v>0</v>
      </c>
      <c r="M3" s="76">
        <f>'2026年'!M3</f>
        <v>0</v>
      </c>
      <c r="N3" s="76">
        <f>'2026年'!N3</f>
        <v>0</v>
      </c>
      <c r="O3" s="76">
        <f>'2026年'!O3</f>
        <v>0</v>
      </c>
      <c r="P3" s="76">
        <f>'2026年'!P3</f>
        <v>0</v>
      </c>
      <c r="Q3" s="76">
        <f>'2026年'!Q3</f>
        <v>0</v>
      </c>
      <c r="R3" s="76">
        <f>'2026年'!R3</f>
        <v>0</v>
      </c>
      <c r="S3" s="242" t="s">
        <v>49</v>
      </c>
    </row>
    <row r="4" spans="1:22">
      <c r="A4" s="241" t="s">
        <v>142</v>
      </c>
      <c r="B4" s="241"/>
      <c r="C4" s="76" t="str">
        <f>'2026年'!C4</f>
        <v>/</v>
      </c>
      <c r="D4" s="76" t="str">
        <f>'2026年'!D4</f>
        <v>/</v>
      </c>
      <c r="E4" s="76">
        <f>'2026年'!E4</f>
        <v>0</v>
      </c>
      <c r="F4" s="76">
        <f>'2026年'!F4</f>
        <v>0</v>
      </c>
      <c r="G4" s="76">
        <f>'2026年'!G4</f>
        <v>0</v>
      </c>
      <c r="H4" s="76">
        <f>'2026年'!H4</f>
        <v>0</v>
      </c>
      <c r="I4" s="76">
        <f>'2026年'!I4</f>
        <v>0</v>
      </c>
      <c r="J4" s="76">
        <f>'2026年'!J4</f>
        <v>0</v>
      </c>
      <c r="K4" s="76">
        <f>'2026年'!K4</f>
        <v>0</v>
      </c>
      <c r="L4" s="76">
        <f>'2026年'!L4</f>
        <v>0</v>
      </c>
      <c r="M4" s="76">
        <f>'2026年'!M4</f>
        <v>0</v>
      </c>
      <c r="N4" s="76">
        <f>'2026年'!N4</f>
        <v>0</v>
      </c>
      <c r="O4" s="76">
        <f>'2026年'!O4</f>
        <v>0</v>
      </c>
      <c r="P4" s="76">
        <f>'2026年'!P4</f>
        <v>0</v>
      </c>
      <c r="Q4" s="76">
        <f>'2026年'!Q4</f>
        <v>0</v>
      </c>
      <c r="R4" s="76">
        <f>'2026年'!R4</f>
        <v>0</v>
      </c>
      <c r="S4" s="243"/>
    </row>
    <row r="5" spans="1:22" ht="28.5">
      <c r="A5" s="241" t="s">
        <v>143</v>
      </c>
      <c r="B5" s="241"/>
      <c r="C5" s="77" t="str">
        <f>'2026年'!C5</f>
        <v>肩部折叠</v>
      </c>
      <c r="D5" s="77" t="str">
        <f>'2026年'!D5</f>
        <v>肩部折叠</v>
      </c>
      <c r="E5" s="77" t="str">
        <f>'2026年'!E5</f>
        <v>根据成本价格进行加价确认</v>
      </c>
      <c r="F5" s="77">
        <f>'2026年'!F5</f>
        <v>0</v>
      </c>
      <c r="G5" s="77">
        <f>'2026年'!G5</f>
        <v>0</v>
      </c>
      <c r="H5" s="77">
        <f>'2026年'!H5</f>
        <v>0</v>
      </c>
      <c r="I5" s="77">
        <f>'2026年'!I5</f>
        <v>0</v>
      </c>
      <c r="J5" s="77">
        <f>'2026年'!J5</f>
        <v>0</v>
      </c>
      <c r="K5" s="77">
        <f>'2026年'!K5</f>
        <v>0</v>
      </c>
      <c r="L5" s="77">
        <f>'2026年'!L5</f>
        <v>0</v>
      </c>
      <c r="M5" s="77">
        <f>'2026年'!M5</f>
        <v>0</v>
      </c>
      <c r="N5" s="77">
        <f>'2026年'!N5</f>
        <v>0</v>
      </c>
      <c r="O5" s="77">
        <f>'2026年'!O5</f>
        <v>0</v>
      </c>
      <c r="P5" s="77">
        <f>'2026年'!P5</f>
        <v>0</v>
      </c>
      <c r="Q5" s="77">
        <f>'2026年'!Q5</f>
        <v>0</v>
      </c>
      <c r="R5" s="77">
        <f>'2026年'!R5</f>
        <v>0</v>
      </c>
      <c r="S5" s="244"/>
    </row>
    <row r="6" spans="1:22">
      <c r="A6" s="78" t="s">
        <v>18</v>
      </c>
      <c r="B6" s="79" t="s">
        <v>144</v>
      </c>
      <c r="C6" s="80">
        <f>销量!C13</f>
        <v>20000</v>
      </c>
      <c r="D6" s="80">
        <f>销量!D13</f>
        <v>20000</v>
      </c>
      <c r="E6" s="80">
        <f>销量!E13</f>
        <v>0</v>
      </c>
      <c r="F6" s="80">
        <f>销量!F13</f>
        <v>0</v>
      </c>
      <c r="G6" s="80">
        <f>销量!G13</f>
        <v>0</v>
      </c>
      <c r="H6" s="80">
        <f>销量!H13</f>
        <v>0</v>
      </c>
      <c r="I6" s="80">
        <f>销量!I13</f>
        <v>0</v>
      </c>
      <c r="J6" s="80">
        <f>销量!J13</f>
        <v>0</v>
      </c>
      <c r="K6" s="80">
        <f>销量!K13</f>
        <v>0</v>
      </c>
      <c r="L6" s="80">
        <f>销量!L13</f>
        <v>0</v>
      </c>
      <c r="M6" s="80">
        <f>销量!M13</f>
        <v>0</v>
      </c>
      <c r="N6" s="80">
        <f>销量!N13</f>
        <v>0</v>
      </c>
      <c r="O6" s="80">
        <f>销量!O13</f>
        <v>0</v>
      </c>
      <c r="P6" s="80">
        <f>销量!P13</f>
        <v>0</v>
      </c>
      <c r="Q6" s="80">
        <f>销量!Q13</f>
        <v>0</v>
      </c>
      <c r="R6" s="80">
        <f>销量!R13</f>
        <v>0</v>
      </c>
      <c r="S6" s="81">
        <f>+SUM(C6:R6)</f>
        <v>40000</v>
      </c>
    </row>
    <row r="7" spans="1:22">
      <c r="A7" s="75">
        <v>1</v>
      </c>
      <c r="B7" s="79" t="s">
        <v>52</v>
      </c>
      <c r="C7" s="81">
        <f>C6*销量!C8</f>
        <v>6285114.0170504153</v>
      </c>
      <c r="D7" s="81">
        <f>D6*销量!D8</f>
        <v>5483238.7741603032</v>
      </c>
      <c r="E7" s="81">
        <f>E6*销量!E8</f>
        <v>0</v>
      </c>
      <c r="F7" s="81">
        <f>F6*销量!F8</f>
        <v>0</v>
      </c>
      <c r="G7" s="81">
        <f>G6*销量!G8</f>
        <v>0</v>
      </c>
      <c r="H7" s="81">
        <f>H6*销量!H8</f>
        <v>0</v>
      </c>
      <c r="I7" s="81">
        <f>I6*销量!I8</f>
        <v>0</v>
      </c>
      <c r="J7" s="81">
        <f>J6*销量!J8</f>
        <v>0</v>
      </c>
      <c r="K7" s="81">
        <f>K6*销量!K8</f>
        <v>0</v>
      </c>
      <c r="L7" s="81">
        <f>L6*销量!L8</f>
        <v>0</v>
      </c>
      <c r="M7" s="81">
        <f>M6*销量!M8</f>
        <v>0</v>
      </c>
      <c r="N7" s="81">
        <f>N6*销量!N8</f>
        <v>0</v>
      </c>
      <c r="O7" s="81">
        <f>O6*销量!O8</f>
        <v>0</v>
      </c>
      <c r="P7" s="81">
        <f>P6*销量!P8</f>
        <v>0</v>
      </c>
      <c r="Q7" s="81">
        <f>Q6*销量!Q8</f>
        <v>0</v>
      </c>
      <c r="R7" s="81">
        <f>R6*销量!R8</f>
        <v>0</v>
      </c>
      <c r="S7" s="81">
        <f t="shared" ref="S7:S13" si="0">+SUM(C7:R7)</f>
        <v>11768352.791210718</v>
      </c>
      <c r="T7" s="74"/>
    </row>
    <row r="8" spans="1:22">
      <c r="A8" s="75">
        <v>2</v>
      </c>
      <c r="B8" s="75" t="s">
        <v>54</v>
      </c>
      <c r="C8" s="81">
        <f>C7*(1-销量!$V$10)</f>
        <v>0</v>
      </c>
      <c r="D8" s="81">
        <f>D7*(1-销量!$V$10)</f>
        <v>0</v>
      </c>
      <c r="E8" s="81">
        <f>E7*(1-销量!$V$10)</f>
        <v>0</v>
      </c>
      <c r="F8" s="81">
        <f>F7*(1-销量!$V$10)</f>
        <v>0</v>
      </c>
      <c r="G8" s="81">
        <f>G7*(1-销量!$V$10)</f>
        <v>0</v>
      </c>
      <c r="H8" s="81">
        <f>H7*(1-销量!$V$10)</f>
        <v>0</v>
      </c>
      <c r="I8" s="81">
        <f>I7*(1-销量!$V$10)</f>
        <v>0</v>
      </c>
      <c r="J8" s="81">
        <f>J7*(1-销量!$V$10)</f>
        <v>0</v>
      </c>
      <c r="K8" s="81">
        <f>K7*(1-销量!$V$10)</f>
        <v>0</v>
      </c>
      <c r="L8" s="81">
        <f>L7*(1-销量!$V$10)</f>
        <v>0</v>
      </c>
      <c r="M8" s="81">
        <f>M7*(1-销量!$V$10)</f>
        <v>0</v>
      </c>
      <c r="N8" s="81">
        <f>N7*(1-销量!$V$10)</f>
        <v>0</v>
      </c>
      <c r="O8" s="81">
        <f>O7*(1-销量!$V$10)</f>
        <v>0</v>
      </c>
      <c r="P8" s="81">
        <f>P7*(1-销量!$V$10)</f>
        <v>0</v>
      </c>
      <c r="Q8" s="81">
        <f>Q7*(1-销量!$V$10)</f>
        <v>0</v>
      </c>
      <c r="R8" s="81">
        <f>R7*(1-销量!$V$10)</f>
        <v>0</v>
      </c>
      <c r="S8" s="81">
        <f t="shared" si="0"/>
        <v>0</v>
      </c>
      <c r="T8" s="82"/>
    </row>
    <row r="9" spans="1:22">
      <c r="A9" s="75">
        <v>3</v>
      </c>
      <c r="B9" s="79" t="s">
        <v>57</v>
      </c>
      <c r="C9" s="81">
        <f>+C7-C8</f>
        <v>6285114.0170504153</v>
      </c>
      <c r="D9" s="81">
        <f>+D7-D8</f>
        <v>5483238.7741603032</v>
      </c>
      <c r="E9" s="81">
        <f t="shared" ref="E9:S9" si="1">+E7-E8</f>
        <v>0</v>
      </c>
      <c r="F9" s="81">
        <f t="shared" si="1"/>
        <v>0</v>
      </c>
      <c r="G9" s="81">
        <f t="shared" ref="G9:R9" si="2">+G7-G8</f>
        <v>0</v>
      </c>
      <c r="H9" s="81">
        <f t="shared" si="2"/>
        <v>0</v>
      </c>
      <c r="I9" s="81">
        <f t="shared" si="2"/>
        <v>0</v>
      </c>
      <c r="J9" s="81">
        <f t="shared" si="2"/>
        <v>0</v>
      </c>
      <c r="K9" s="81">
        <f t="shared" si="2"/>
        <v>0</v>
      </c>
      <c r="L9" s="81">
        <f t="shared" si="2"/>
        <v>0</v>
      </c>
      <c r="M9" s="81">
        <f t="shared" si="2"/>
        <v>0</v>
      </c>
      <c r="N9" s="81">
        <f t="shared" si="2"/>
        <v>0</v>
      </c>
      <c r="O9" s="81">
        <f t="shared" si="2"/>
        <v>0</v>
      </c>
      <c r="P9" s="81">
        <f t="shared" si="2"/>
        <v>0</v>
      </c>
      <c r="Q9" s="81">
        <f t="shared" si="2"/>
        <v>0</v>
      </c>
      <c r="R9" s="81">
        <f t="shared" si="2"/>
        <v>0</v>
      </c>
      <c r="S9" s="81">
        <f t="shared" si="1"/>
        <v>11768352.791210718</v>
      </c>
    </row>
    <row r="10" spans="1:22">
      <c r="A10" s="75">
        <v>4</v>
      </c>
      <c r="B10" s="78" t="s">
        <v>61</v>
      </c>
      <c r="C10" s="81">
        <f>C6*C33</f>
        <v>4399579.8119352907</v>
      </c>
      <c r="D10" s="81">
        <f>D6*D33</f>
        <v>3838267.1419122117</v>
      </c>
      <c r="E10" s="81">
        <f t="shared" ref="E10:F10" si="3">E6*E33</f>
        <v>0</v>
      </c>
      <c r="F10" s="81">
        <f t="shared" si="3"/>
        <v>0</v>
      </c>
      <c r="G10" s="81">
        <f t="shared" ref="G10:R10" si="4">G6*G33</f>
        <v>0</v>
      </c>
      <c r="H10" s="81">
        <f t="shared" si="4"/>
        <v>0</v>
      </c>
      <c r="I10" s="81">
        <f t="shared" si="4"/>
        <v>0</v>
      </c>
      <c r="J10" s="81">
        <f t="shared" si="4"/>
        <v>0</v>
      </c>
      <c r="K10" s="81">
        <f t="shared" si="4"/>
        <v>0</v>
      </c>
      <c r="L10" s="81">
        <f t="shared" si="4"/>
        <v>0</v>
      </c>
      <c r="M10" s="81">
        <f t="shared" si="4"/>
        <v>0</v>
      </c>
      <c r="N10" s="81">
        <f t="shared" si="4"/>
        <v>0</v>
      </c>
      <c r="O10" s="81">
        <f t="shared" si="4"/>
        <v>0</v>
      </c>
      <c r="P10" s="81">
        <f t="shared" si="4"/>
        <v>0</v>
      </c>
      <c r="Q10" s="81">
        <f t="shared" si="4"/>
        <v>0</v>
      </c>
      <c r="R10" s="81">
        <f t="shared" si="4"/>
        <v>0</v>
      </c>
      <c r="S10" s="81">
        <f t="shared" si="0"/>
        <v>8237846.9538475024</v>
      </c>
    </row>
    <row r="11" spans="1:22">
      <c r="A11" s="75">
        <v>5</v>
      </c>
      <c r="B11" s="78" t="s">
        <v>63</v>
      </c>
      <c r="C11" s="81">
        <f>+C6*C36</f>
        <v>501552.09856062313</v>
      </c>
      <c r="D11" s="81">
        <f>+D6*D36</f>
        <v>437562.45417799213</v>
      </c>
      <c r="E11" s="81">
        <f t="shared" ref="E11:F11" si="5">+E6*E36</f>
        <v>0</v>
      </c>
      <c r="F11" s="81">
        <f t="shared" si="5"/>
        <v>0</v>
      </c>
      <c r="G11" s="81">
        <f t="shared" ref="G11:R11" si="6">+G6*G36</f>
        <v>0</v>
      </c>
      <c r="H11" s="81">
        <f t="shared" si="6"/>
        <v>0</v>
      </c>
      <c r="I11" s="81">
        <f t="shared" si="6"/>
        <v>0</v>
      </c>
      <c r="J11" s="81">
        <f t="shared" si="6"/>
        <v>0</v>
      </c>
      <c r="K11" s="81">
        <f t="shared" si="6"/>
        <v>0</v>
      </c>
      <c r="L11" s="81">
        <f t="shared" si="6"/>
        <v>0</v>
      </c>
      <c r="M11" s="81">
        <f t="shared" si="6"/>
        <v>0</v>
      </c>
      <c r="N11" s="81">
        <f t="shared" si="6"/>
        <v>0</v>
      </c>
      <c r="O11" s="81">
        <f t="shared" si="6"/>
        <v>0</v>
      </c>
      <c r="P11" s="81">
        <f t="shared" si="6"/>
        <v>0</v>
      </c>
      <c r="Q11" s="81">
        <f t="shared" si="6"/>
        <v>0</v>
      </c>
      <c r="R11" s="81">
        <f t="shared" si="6"/>
        <v>0</v>
      </c>
      <c r="S11" s="81">
        <f t="shared" si="0"/>
        <v>939114.55273861531</v>
      </c>
    </row>
    <row r="12" spans="1:22">
      <c r="A12" s="75">
        <v>6</v>
      </c>
      <c r="B12" s="78" t="s">
        <v>65</v>
      </c>
      <c r="C12" s="81">
        <f>+C6*C37</f>
        <v>329968.48589514685</v>
      </c>
      <c r="D12" s="81">
        <f>+D6*D37</f>
        <v>287870.03564341593</v>
      </c>
      <c r="E12" s="81">
        <f t="shared" ref="E12:F12" si="7">+E6*E37</f>
        <v>0</v>
      </c>
      <c r="F12" s="81">
        <f t="shared" si="7"/>
        <v>0</v>
      </c>
      <c r="G12" s="81">
        <f t="shared" ref="G12:R12" si="8">+G6*G37</f>
        <v>0</v>
      </c>
      <c r="H12" s="81">
        <f t="shared" si="8"/>
        <v>0</v>
      </c>
      <c r="I12" s="81">
        <f t="shared" si="8"/>
        <v>0</v>
      </c>
      <c r="J12" s="81">
        <f t="shared" si="8"/>
        <v>0</v>
      </c>
      <c r="K12" s="81">
        <f t="shared" si="8"/>
        <v>0</v>
      </c>
      <c r="L12" s="81">
        <f t="shared" si="8"/>
        <v>0</v>
      </c>
      <c r="M12" s="81">
        <f t="shared" si="8"/>
        <v>0</v>
      </c>
      <c r="N12" s="81">
        <f t="shared" si="8"/>
        <v>0</v>
      </c>
      <c r="O12" s="81">
        <f t="shared" si="8"/>
        <v>0</v>
      </c>
      <c r="P12" s="81">
        <f t="shared" si="8"/>
        <v>0</v>
      </c>
      <c r="Q12" s="81">
        <f t="shared" si="8"/>
        <v>0</v>
      </c>
      <c r="R12" s="81">
        <f t="shared" si="8"/>
        <v>0</v>
      </c>
      <c r="S12" s="81">
        <f t="shared" si="0"/>
        <v>617838.52153856284</v>
      </c>
    </row>
    <row r="13" spans="1:22">
      <c r="A13" s="75">
        <v>7</v>
      </c>
      <c r="B13" s="78" t="s">
        <v>67</v>
      </c>
      <c r="C13" s="81">
        <f>+C6*C38</f>
        <v>147071.66799897968</v>
      </c>
      <c r="D13" s="81">
        <f>+D6*D38</f>
        <v>128307.78731535109</v>
      </c>
      <c r="E13" s="81">
        <f t="shared" ref="E13:F13" si="9">+E6*E38</f>
        <v>0</v>
      </c>
      <c r="F13" s="81">
        <f t="shared" si="9"/>
        <v>0</v>
      </c>
      <c r="G13" s="81">
        <f t="shared" ref="G13:R13" si="10">+G6*G38</f>
        <v>0</v>
      </c>
      <c r="H13" s="81">
        <f t="shared" si="10"/>
        <v>0</v>
      </c>
      <c r="I13" s="81">
        <f t="shared" si="10"/>
        <v>0</v>
      </c>
      <c r="J13" s="81">
        <f t="shared" si="10"/>
        <v>0</v>
      </c>
      <c r="K13" s="81">
        <f t="shared" si="10"/>
        <v>0</v>
      </c>
      <c r="L13" s="81">
        <f t="shared" si="10"/>
        <v>0</v>
      </c>
      <c r="M13" s="81">
        <f t="shared" si="10"/>
        <v>0</v>
      </c>
      <c r="N13" s="81">
        <f t="shared" si="10"/>
        <v>0</v>
      </c>
      <c r="O13" s="81">
        <f t="shared" si="10"/>
        <v>0</v>
      </c>
      <c r="P13" s="81">
        <f t="shared" si="10"/>
        <v>0</v>
      </c>
      <c r="Q13" s="81">
        <f t="shared" si="10"/>
        <v>0</v>
      </c>
      <c r="R13" s="81">
        <f t="shared" si="10"/>
        <v>0</v>
      </c>
      <c r="S13" s="81">
        <f t="shared" si="0"/>
        <v>275379.45531433076</v>
      </c>
    </row>
    <row r="14" spans="1:22">
      <c r="A14" s="75">
        <v>8</v>
      </c>
      <c r="B14" s="83" t="s">
        <v>69</v>
      </c>
      <c r="C14" s="81">
        <f>SUM(C11:C13)</f>
        <v>978592.25245474966</v>
      </c>
      <c r="D14" s="81">
        <f>SUM(D11:D13)</f>
        <v>853740.27713675913</v>
      </c>
      <c r="E14" s="81">
        <f t="shared" ref="E14:S14" si="11">SUM(E11:E13)</f>
        <v>0</v>
      </c>
      <c r="F14" s="81">
        <f t="shared" si="11"/>
        <v>0</v>
      </c>
      <c r="G14" s="81">
        <f t="shared" ref="G14:R14" si="12">SUM(G11:G13)</f>
        <v>0</v>
      </c>
      <c r="H14" s="81">
        <f t="shared" si="12"/>
        <v>0</v>
      </c>
      <c r="I14" s="81">
        <f t="shared" si="12"/>
        <v>0</v>
      </c>
      <c r="J14" s="81">
        <f t="shared" si="12"/>
        <v>0</v>
      </c>
      <c r="K14" s="81">
        <f t="shared" si="12"/>
        <v>0</v>
      </c>
      <c r="L14" s="81">
        <f t="shared" si="12"/>
        <v>0</v>
      </c>
      <c r="M14" s="81">
        <f t="shared" si="12"/>
        <v>0</v>
      </c>
      <c r="N14" s="81">
        <f t="shared" si="12"/>
        <v>0</v>
      </c>
      <c r="O14" s="81">
        <f t="shared" si="12"/>
        <v>0</v>
      </c>
      <c r="P14" s="81">
        <f t="shared" si="12"/>
        <v>0</v>
      </c>
      <c r="Q14" s="81">
        <f t="shared" si="12"/>
        <v>0</v>
      </c>
      <c r="R14" s="81">
        <f t="shared" si="12"/>
        <v>0</v>
      </c>
      <c r="S14" s="81">
        <f t="shared" si="11"/>
        <v>1832332.5295915089</v>
      </c>
    </row>
    <row r="15" spans="1:22">
      <c r="A15" s="75">
        <v>9</v>
      </c>
      <c r="B15" s="83" t="s">
        <v>71</v>
      </c>
      <c r="C15" s="81">
        <f>+C9-C10-C14</f>
        <v>906941.95266037493</v>
      </c>
      <c r="D15" s="81">
        <f>+D9-D10-D14</f>
        <v>791231.35511133238</v>
      </c>
      <c r="E15" s="81">
        <f t="shared" ref="E15:S15" si="13">+E9-E10-E14</f>
        <v>0</v>
      </c>
      <c r="F15" s="81">
        <f t="shared" si="13"/>
        <v>0</v>
      </c>
      <c r="G15" s="81">
        <f t="shared" ref="G15:R15" si="14">+G9-G10-G14</f>
        <v>0</v>
      </c>
      <c r="H15" s="81">
        <f t="shared" si="14"/>
        <v>0</v>
      </c>
      <c r="I15" s="81">
        <f t="shared" si="14"/>
        <v>0</v>
      </c>
      <c r="J15" s="81">
        <f t="shared" si="14"/>
        <v>0</v>
      </c>
      <c r="K15" s="81">
        <f t="shared" si="14"/>
        <v>0</v>
      </c>
      <c r="L15" s="81">
        <f t="shared" si="14"/>
        <v>0</v>
      </c>
      <c r="M15" s="81">
        <f t="shared" si="14"/>
        <v>0</v>
      </c>
      <c r="N15" s="81">
        <f t="shared" si="14"/>
        <v>0</v>
      </c>
      <c r="O15" s="81">
        <f t="shared" si="14"/>
        <v>0</v>
      </c>
      <c r="P15" s="81">
        <f t="shared" si="14"/>
        <v>0</v>
      </c>
      <c r="Q15" s="81">
        <f t="shared" si="14"/>
        <v>0</v>
      </c>
      <c r="R15" s="81">
        <f t="shared" si="14"/>
        <v>0</v>
      </c>
      <c r="S15" s="81">
        <f t="shared" si="13"/>
        <v>1698173.3077717072</v>
      </c>
    </row>
    <row r="16" spans="1:22">
      <c r="A16" s="75">
        <v>10</v>
      </c>
      <c r="B16" s="78" t="s">
        <v>73</v>
      </c>
      <c r="C16" s="84">
        <f>+C15/C9</f>
        <v>0.14430000000000001</v>
      </c>
      <c r="D16" s="84">
        <f>+D15/D9</f>
        <v>0.14430000000000012</v>
      </c>
      <c r="E16" s="84" t="e">
        <f t="shared" ref="E16:F16" si="15">+E15/E9</f>
        <v>#DIV/0!</v>
      </c>
      <c r="F16" s="84" t="e">
        <f t="shared" si="15"/>
        <v>#DIV/0!</v>
      </c>
      <c r="G16" s="84" t="e">
        <f t="shared" ref="G16:R16" si="16">+G15/G9</f>
        <v>#DIV/0!</v>
      </c>
      <c r="H16" s="84" t="e">
        <f t="shared" si="16"/>
        <v>#DIV/0!</v>
      </c>
      <c r="I16" s="84" t="e">
        <f t="shared" si="16"/>
        <v>#DIV/0!</v>
      </c>
      <c r="J16" s="84" t="e">
        <f t="shared" si="16"/>
        <v>#DIV/0!</v>
      </c>
      <c r="K16" s="84" t="e">
        <f t="shared" si="16"/>
        <v>#DIV/0!</v>
      </c>
      <c r="L16" s="84" t="e">
        <f t="shared" si="16"/>
        <v>#DIV/0!</v>
      </c>
      <c r="M16" s="84" t="e">
        <f t="shared" si="16"/>
        <v>#DIV/0!</v>
      </c>
      <c r="N16" s="84" t="e">
        <f t="shared" si="16"/>
        <v>#DIV/0!</v>
      </c>
      <c r="O16" s="84" t="e">
        <f t="shared" si="16"/>
        <v>#DIV/0!</v>
      </c>
      <c r="P16" s="84" t="e">
        <f t="shared" si="16"/>
        <v>#DIV/0!</v>
      </c>
      <c r="Q16" s="84" t="e">
        <f t="shared" si="16"/>
        <v>#DIV/0!</v>
      </c>
      <c r="R16" s="84" t="e">
        <f t="shared" si="16"/>
        <v>#DIV/0!</v>
      </c>
      <c r="S16" s="84">
        <f>+S15/S9</f>
        <v>0.14430000000000004</v>
      </c>
      <c r="T16" s="85"/>
      <c r="U16" s="85"/>
      <c r="V16" s="85"/>
    </row>
    <row r="17" spans="1:26">
      <c r="A17" s="75">
        <v>11</v>
      </c>
      <c r="B17" s="78" t="s">
        <v>75</v>
      </c>
      <c r="C17" s="81">
        <f>C6*C43+C18</f>
        <v>530847.71727929125</v>
      </c>
      <c r="D17" s="81">
        <f>D6*D43+D18</f>
        <v>480089.01440434717</v>
      </c>
      <c r="E17" s="81">
        <f t="shared" ref="E17:F17" si="17">E6*E43+E18</f>
        <v>0</v>
      </c>
      <c r="F17" s="81">
        <f t="shared" si="17"/>
        <v>0</v>
      </c>
      <c r="G17" s="81">
        <f t="shared" ref="G17:R17" si="18">G6*G43+G18</f>
        <v>0</v>
      </c>
      <c r="H17" s="81">
        <f t="shared" si="18"/>
        <v>0</v>
      </c>
      <c r="I17" s="81">
        <f t="shared" si="18"/>
        <v>0</v>
      </c>
      <c r="J17" s="81">
        <f t="shared" si="18"/>
        <v>0</v>
      </c>
      <c r="K17" s="81">
        <f t="shared" si="18"/>
        <v>0</v>
      </c>
      <c r="L17" s="81">
        <f t="shared" si="18"/>
        <v>0</v>
      </c>
      <c r="M17" s="81">
        <f t="shared" si="18"/>
        <v>0</v>
      </c>
      <c r="N17" s="81">
        <f t="shared" si="18"/>
        <v>0</v>
      </c>
      <c r="O17" s="81">
        <f t="shared" si="18"/>
        <v>0</v>
      </c>
      <c r="P17" s="81">
        <f t="shared" si="18"/>
        <v>0</v>
      </c>
      <c r="Q17" s="81">
        <f t="shared" si="18"/>
        <v>0</v>
      </c>
      <c r="R17" s="81">
        <f t="shared" si="18"/>
        <v>0</v>
      </c>
      <c r="S17" s="81">
        <f t="shared" ref="S17" si="19">+SUM(C17:R17)</f>
        <v>1010936.7316836384</v>
      </c>
      <c r="T17" s="82"/>
    </row>
    <row r="18" spans="1:26" s="72" customFormat="1">
      <c r="A18" s="75">
        <v>12</v>
      </c>
      <c r="B18" s="86" t="s">
        <v>145</v>
      </c>
      <c r="C18" s="87">
        <f>$S$18/$S$6*C6</f>
        <v>133000</v>
      </c>
      <c r="D18" s="87">
        <f>$S$18/$S$6*D6</f>
        <v>133000</v>
      </c>
      <c r="E18" s="87">
        <f>$S$18/$S$6*E6</f>
        <v>0</v>
      </c>
      <c r="F18" s="87">
        <f>$S$18/$S$6*F6</f>
        <v>0</v>
      </c>
      <c r="G18" s="87">
        <f t="shared" ref="G18:R18" si="20">$S$18/$S$6*G6</f>
        <v>0</v>
      </c>
      <c r="H18" s="87">
        <f t="shared" si="20"/>
        <v>0</v>
      </c>
      <c r="I18" s="87">
        <f t="shared" si="20"/>
        <v>0</v>
      </c>
      <c r="J18" s="87">
        <f t="shared" si="20"/>
        <v>0</v>
      </c>
      <c r="K18" s="87">
        <f t="shared" si="20"/>
        <v>0</v>
      </c>
      <c r="L18" s="87">
        <f t="shared" si="20"/>
        <v>0</v>
      </c>
      <c r="M18" s="87">
        <f t="shared" si="20"/>
        <v>0</v>
      </c>
      <c r="N18" s="87">
        <f t="shared" si="20"/>
        <v>0</v>
      </c>
      <c r="O18" s="87">
        <f t="shared" si="20"/>
        <v>0</v>
      </c>
      <c r="P18" s="87">
        <f t="shared" si="20"/>
        <v>0</v>
      </c>
      <c r="Q18" s="87">
        <f t="shared" si="20"/>
        <v>0</v>
      </c>
      <c r="R18" s="87">
        <f t="shared" si="20"/>
        <v>0</v>
      </c>
      <c r="S18" s="81">
        <f>项目投资!H26</f>
        <v>266000</v>
      </c>
      <c r="T18" s="88" t="s">
        <v>146</v>
      </c>
      <c r="U18" s="88"/>
      <c r="V18" s="88"/>
    </row>
    <row r="19" spans="1:26">
      <c r="A19" s="75">
        <v>13</v>
      </c>
      <c r="B19" s="78" t="s">
        <v>77</v>
      </c>
      <c r="C19" s="81">
        <f>C6*C44</f>
        <v>0</v>
      </c>
      <c r="D19" s="81">
        <f>D6*D44</f>
        <v>0</v>
      </c>
      <c r="E19" s="81">
        <f t="shared" ref="E19:F19" si="21">E6*E44</f>
        <v>0</v>
      </c>
      <c r="F19" s="81">
        <f t="shared" si="21"/>
        <v>0</v>
      </c>
      <c r="G19" s="81">
        <f t="shared" ref="G19:R19" si="22">G6*G44</f>
        <v>0</v>
      </c>
      <c r="H19" s="81">
        <f t="shared" si="22"/>
        <v>0</v>
      </c>
      <c r="I19" s="81">
        <f t="shared" si="22"/>
        <v>0</v>
      </c>
      <c r="J19" s="81">
        <f t="shared" si="22"/>
        <v>0</v>
      </c>
      <c r="K19" s="81">
        <f t="shared" si="22"/>
        <v>0</v>
      </c>
      <c r="L19" s="81">
        <f t="shared" si="22"/>
        <v>0</v>
      </c>
      <c r="M19" s="81">
        <f t="shared" si="22"/>
        <v>0</v>
      </c>
      <c r="N19" s="81">
        <f t="shared" si="22"/>
        <v>0</v>
      </c>
      <c r="O19" s="81">
        <f t="shared" si="22"/>
        <v>0</v>
      </c>
      <c r="P19" s="81">
        <f t="shared" si="22"/>
        <v>0</v>
      </c>
      <c r="Q19" s="81">
        <f t="shared" si="22"/>
        <v>0</v>
      </c>
      <c r="R19" s="81">
        <f t="shared" si="22"/>
        <v>0</v>
      </c>
      <c r="S19" s="81">
        <f t="shared" ref="S19:S20" si="23">+SUM(C19:R19)</f>
        <v>0</v>
      </c>
      <c r="T19" s="72"/>
    </row>
    <row r="20" spans="1:26">
      <c r="A20" s="75">
        <v>14</v>
      </c>
      <c r="B20" s="78" t="s">
        <v>79</v>
      </c>
      <c r="C20" s="81">
        <f>C6*C45</f>
        <v>30797.058683547035</v>
      </c>
      <c r="D20" s="81">
        <f>D6*D45</f>
        <v>26867.869993385484</v>
      </c>
      <c r="E20" s="81">
        <f t="shared" ref="E20:F20" si="24">E6*E45</f>
        <v>0</v>
      </c>
      <c r="F20" s="81">
        <f t="shared" si="24"/>
        <v>0</v>
      </c>
      <c r="G20" s="81">
        <f t="shared" ref="G20:R20" si="25">G6*G45</f>
        <v>0</v>
      </c>
      <c r="H20" s="81">
        <f t="shared" si="25"/>
        <v>0</v>
      </c>
      <c r="I20" s="81">
        <f t="shared" si="25"/>
        <v>0</v>
      </c>
      <c r="J20" s="81">
        <f t="shared" si="25"/>
        <v>0</v>
      </c>
      <c r="K20" s="81">
        <f t="shared" si="25"/>
        <v>0</v>
      </c>
      <c r="L20" s="81">
        <f t="shared" si="25"/>
        <v>0</v>
      </c>
      <c r="M20" s="81">
        <f t="shared" si="25"/>
        <v>0</v>
      </c>
      <c r="N20" s="81">
        <f t="shared" si="25"/>
        <v>0</v>
      </c>
      <c r="O20" s="81">
        <f t="shared" si="25"/>
        <v>0</v>
      </c>
      <c r="P20" s="81">
        <f t="shared" si="25"/>
        <v>0</v>
      </c>
      <c r="Q20" s="81">
        <f t="shared" si="25"/>
        <v>0</v>
      </c>
      <c r="R20" s="81">
        <f t="shared" si="25"/>
        <v>0</v>
      </c>
      <c r="S20" s="81">
        <f t="shared" si="23"/>
        <v>57664.928676932519</v>
      </c>
    </row>
    <row r="21" spans="1:26">
      <c r="A21" s="75">
        <v>15</v>
      </c>
      <c r="B21" s="78" t="s">
        <v>81</v>
      </c>
      <c r="C21" s="89">
        <f>$S$21/$S$6*C6</f>
        <v>10000</v>
      </c>
      <c r="D21" s="89">
        <f>$S$21/$S$6*D6</f>
        <v>10000</v>
      </c>
      <c r="E21" s="89">
        <f>$S$21/$S$6*E6</f>
        <v>0</v>
      </c>
      <c r="F21" s="89">
        <f>$S$21/$S$6*F6</f>
        <v>0</v>
      </c>
      <c r="G21" s="89">
        <f t="shared" ref="G21:R21" si="26">$S$21/$S$6*G6</f>
        <v>0</v>
      </c>
      <c r="H21" s="89">
        <f t="shared" si="26"/>
        <v>0</v>
      </c>
      <c r="I21" s="89">
        <f t="shared" si="26"/>
        <v>0</v>
      </c>
      <c r="J21" s="89">
        <f t="shared" si="26"/>
        <v>0</v>
      </c>
      <c r="K21" s="89">
        <f t="shared" si="26"/>
        <v>0</v>
      </c>
      <c r="L21" s="89">
        <f t="shared" si="26"/>
        <v>0</v>
      </c>
      <c r="M21" s="89">
        <f t="shared" si="26"/>
        <v>0</v>
      </c>
      <c r="N21" s="89">
        <f t="shared" si="26"/>
        <v>0</v>
      </c>
      <c r="O21" s="89">
        <f t="shared" si="26"/>
        <v>0</v>
      </c>
      <c r="P21" s="89">
        <f t="shared" si="26"/>
        <v>0</v>
      </c>
      <c r="Q21" s="89">
        <f t="shared" si="26"/>
        <v>0</v>
      </c>
      <c r="R21" s="89">
        <f t="shared" si="26"/>
        <v>0</v>
      </c>
      <c r="S21" s="81">
        <f>项目投资!H27</f>
        <v>20000</v>
      </c>
    </row>
    <row r="22" spans="1:26">
      <c r="A22" s="75">
        <v>16</v>
      </c>
      <c r="B22" s="78" t="s">
        <v>82</v>
      </c>
      <c r="C22" s="81">
        <f>C6*C47</f>
        <v>233806.24143427543</v>
      </c>
      <c r="D22" s="81">
        <f>D6*D47</f>
        <v>203976.48239876324</v>
      </c>
      <c r="E22" s="81">
        <f t="shared" ref="E22:F22" si="27">E6*E47</f>
        <v>0</v>
      </c>
      <c r="F22" s="81">
        <f t="shared" si="27"/>
        <v>0</v>
      </c>
      <c r="G22" s="81">
        <f t="shared" ref="G22:R22" si="28">G6*G47</f>
        <v>0</v>
      </c>
      <c r="H22" s="81">
        <f t="shared" si="28"/>
        <v>0</v>
      </c>
      <c r="I22" s="81">
        <f t="shared" si="28"/>
        <v>0</v>
      </c>
      <c r="J22" s="81">
        <f t="shared" si="28"/>
        <v>0</v>
      </c>
      <c r="K22" s="81">
        <f t="shared" si="28"/>
        <v>0</v>
      </c>
      <c r="L22" s="81">
        <f t="shared" si="28"/>
        <v>0</v>
      </c>
      <c r="M22" s="81">
        <f t="shared" si="28"/>
        <v>0</v>
      </c>
      <c r="N22" s="81">
        <f t="shared" si="28"/>
        <v>0</v>
      </c>
      <c r="O22" s="81">
        <f t="shared" si="28"/>
        <v>0</v>
      </c>
      <c r="P22" s="81">
        <f t="shared" si="28"/>
        <v>0</v>
      </c>
      <c r="Q22" s="81">
        <f t="shared" si="28"/>
        <v>0</v>
      </c>
      <c r="R22" s="81">
        <f t="shared" si="28"/>
        <v>0</v>
      </c>
      <c r="S22" s="81">
        <f t="shared" ref="S22" si="29">+SUM(C22:R22)</f>
        <v>437782.7238330387</v>
      </c>
    </row>
    <row r="23" spans="1:26">
      <c r="A23" s="75">
        <v>17</v>
      </c>
      <c r="B23" s="83" t="s">
        <v>84</v>
      </c>
      <c r="C23" s="89">
        <f>+C22+C21+C20+C19+C17</f>
        <v>805451.01739711373</v>
      </c>
      <c r="D23" s="89">
        <f>+D22+D21+D20+D19+D17</f>
        <v>720933.36679649586</v>
      </c>
      <c r="E23" s="89">
        <f t="shared" ref="E23:F23" si="30">+E22+E21+E20+E19+E17</f>
        <v>0</v>
      </c>
      <c r="F23" s="89">
        <f t="shared" si="30"/>
        <v>0</v>
      </c>
      <c r="G23" s="89">
        <f t="shared" ref="G23:R23" si="31">+G22+G21+G20+G19+G17</f>
        <v>0</v>
      </c>
      <c r="H23" s="89">
        <f t="shared" si="31"/>
        <v>0</v>
      </c>
      <c r="I23" s="89">
        <f t="shared" si="31"/>
        <v>0</v>
      </c>
      <c r="J23" s="89">
        <f t="shared" si="31"/>
        <v>0</v>
      </c>
      <c r="K23" s="89">
        <f t="shared" si="31"/>
        <v>0</v>
      </c>
      <c r="L23" s="89">
        <f t="shared" si="31"/>
        <v>0</v>
      </c>
      <c r="M23" s="89">
        <f t="shared" si="31"/>
        <v>0</v>
      </c>
      <c r="N23" s="89">
        <f t="shared" si="31"/>
        <v>0</v>
      </c>
      <c r="O23" s="89">
        <f t="shared" si="31"/>
        <v>0</v>
      </c>
      <c r="P23" s="89">
        <f t="shared" si="31"/>
        <v>0</v>
      </c>
      <c r="Q23" s="89">
        <f t="shared" si="31"/>
        <v>0</v>
      </c>
      <c r="R23" s="89">
        <f t="shared" si="31"/>
        <v>0</v>
      </c>
      <c r="S23" s="89">
        <f>+S22+S21+S20+S19+S17</f>
        <v>1526384.3841936097</v>
      </c>
    </row>
    <row r="24" spans="1:26">
      <c r="A24" s="75">
        <v>18</v>
      </c>
      <c r="B24" s="90" t="s">
        <v>86</v>
      </c>
      <c r="C24" s="89">
        <f>+C15-C23</f>
        <v>101490.9352632612</v>
      </c>
      <c r="D24" s="89">
        <f>+D15-D23</f>
        <v>70297.988314836519</v>
      </c>
      <c r="E24" s="89">
        <f t="shared" ref="E24:F24" si="32">+E15-E23</f>
        <v>0</v>
      </c>
      <c r="F24" s="89">
        <f t="shared" si="32"/>
        <v>0</v>
      </c>
      <c r="G24" s="89">
        <f t="shared" ref="G24:R24" si="33">+G15-G23</f>
        <v>0</v>
      </c>
      <c r="H24" s="89">
        <f t="shared" si="33"/>
        <v>0</v>
      </c>
      <c r="I24" s="89">
        <f t="shared" si="33"/>
        <v>0</v>
      </c>
      <c r="J24" s="89">
        <f t="shared" si="33"/>
        <v>0</v>
      </c>
      <c r="K24" s="89">
        <f t="shared" si="33"/>
        <v>0</v>
      </c>
      <c r="L24" s="89">
        <f t="shared" si="33"/>
        <v>0</v>
      </c>
      <c r="M24" s="89">
        <f t="shared" si="33"/>
        <v>0</v>
      </c>
      <c r="N24" s="89">
        <f t="shared" si="33"/>
        <v>0</v>
      </c>
      <c r="O24" s="89">
        <f t="shared" si="33"/>
        <v>0</v>
      </c>
      <c r="P24" s="89">
        <f t="shared" si="33"/>
        <v>0</v>
      </c>
      <c r="Q24" s="89">
        <f t="shared" si="33"/>
        <v>0</v>
      </c>
      <c r="R24" s="89">
        <f t="shared" si="33"/>
        <v>0</v>
      </c>
      <c r="S24" s="89">
        <f>+S15-S23</f>
        <v>171788.92357809749</v>
      </c>
      <c r="U24" s="91"/>
    </row>
    <row r="25" spans="1:26">
      <c r="A25" s="75">
        <v>19</v>
      </c>
      <c r="B25" s="78" t="s">
        <v>264</v>
      </c>
      <c r="C25" s="89">
        <f>IF(C24&lt;0,0,C24*0.15)</f>
        <v>15223.64028948918</v>
      </c>
      <c r="D25" s="89">
        <f t="shared" ref="D25:S25" si="34">IF(D24&lt;0,0,D24*0.15)</f>
        <v>10544.698247225477</v>
      </c>
      <c r="E25" s="89">
        <f t="shared" ref="E25:F25" si="35">IF(E24&lt;0,0,E24*0.15)</f>
        <v>0</v>
      </c>
      <c r="F25" s="89">
        <f t="shared" si="35"/>
        <v>0</v>
      </c>
      <c r="G25" s="89">
        <f t="shared" ref="G25:R25" si="36">IF(G24&lt;0,0,G24*0.15)</f>
        <v>0</v>
      </c>
      <c r="H25" s="89">
        <f t="shared" si="36"/>
        <v>0</v>
      </c>
      <c r="I25" s="89">
        <f t="shared" si="36"/>
        <v>0</v>
      </c>
      <c r="J25" s="89">
        <f t="shared" si="36"/>
        <v>0</v>
      </c>
      <c r="K25" s="89">
        <f t="shared" si="36"/>
        <v>0</v>
      </c>
      <c r="L25" s="89">
        <f t="shared" si="36"/>
        <v>0</v>
      </c>
      <c r="M25" s="89">
        <f t="shared" si="36"/>
        <v>0</v>
      </c>
      <c r="N25" s="89">
        <f t="shared" si="36"/>
        <v>0</v>
      </c>
      <c r="O25" s="89">
        <f t="shared" si="36"/>
        <v>0</v>
      </c>
      <c r="P25" s="89">
        <f t="shared" si="36"/>
        <v>0</v>
      </c>
      <c r="Q25" s="89">
        <f t="shared" si="36"/>
        <v>0</v>
      </c>
      <c r="R25" s="89">
        <f t="shared" si="36"/>
        <v>0</v>
      </c>
      <c r="S25" s="89">
        <f t="shared" si="34"/>
        <v>25768.338536714622</v>
      </c>
      <c r="T25" s="2"/>
      <c r="U25" s="2"/>
      <c r="V25" s="2"/>
    </row>
    <row r="26" spans="1:26">
      <c r="A26" s="75">
        <v>20</v>
      </c>
      <c r="B26" s="78" t="s">
        <v>89</v>
      </c>
      <c r="C26" s="89">
        <f>C24-C25</f>
        <v>86267.294973772019</v>
      </c>
      <c r="D26" s="89">
        <f>D24-D25</f>
        <v>59753.290067611044</v>
      </c>
      <c r="E26" s="89">
        <f t="shared" ref="E26:S26" si="37">E24-E25</f>
        <v>0</v>
      </c>
      <c r="F26" s="89">
        <f t="shared" si="37"/>
        <v>0</v>
      </c>
      <c r="G26" s="89">
        <f t="shared" ref="G26:R26" si="38">G24-G25</f>
        <v>0</v>
      </c>
      <c r="H26" s="89">
        <f t="shared" si="38"/>
        <v>0</v>
      </c>
      <c r="I26" s="89">
        <f t="shared" si="38"/>
        <v>0</v>
      </c>
      <c r="J26" s="89">
        <f t="shared" si="38"/>
        <v>0</v>
      </c>
      <c r="K26" s="89">
        <f t="shared" si="38"/>
        <v>0</v>
      </c>
      <c r="L26" s="89">
        <f t="shared" si="38"/>
        <v>0</v>
      </c>
      <c r="M26" s="89">
        <f t="shared" si="38"/>
        <v>0</v>
      </c>
      <c r="N26" s="89">
        <f t="shared" si="38"/>
        <v>0</v>
      </c>
      <c r="O26" s="89">
        <f t="shared" si="38"/>
        <v>0</v>
      </c>
      <c r="P26" s="89">
        <f t="shared" si="38"/>
        <v>0</v>
      </c>
      <c r="Q26" s="89">
        <f t="shared" si="38"/>
        <v>0</v>
      </c>
      <c r="R26" s="89">
        <f t="shared" si="38"/>
        <v>0</v>
      </c>
      <c r="S26" s="89">
        <f t="shared" si="37"/>
        <v>146020.58504138287</v>
      </c>
      <c r="T26" s="2"/>
      <c r="U26" s="2"/>
      <c r="V26" s="2"/>
    </row>
    <row r="27" spans="1:26">
      <c r="A27" s="75">
        <v>21</v>
      </c>
      <c r="B27" s="78" t="s">
        <v>93</v>
      </c>
      <c r="C27" s="92">
        <f>C26/C9</f>
        <v>1.3725653144834593E-2</v>
      </c>
      <c r="D27" s="92">
        <f t="shared" ref="D27:S27" si="39">D26/D9</f>
        <v>1.0897444471905493E-2</v>
      </c>
      <c r="E27" s="92" t="e">
        <f t="shared" si="39"/>
        <v>#DIV/0!</v>
      </c>
      <c r="F27" s="92" t="e">
        <f t="shared" si="39"/>
        <v>#DIV/0!</v>
      </c>
      <c r="G27" s="92" t="e">
        <f t="shared" ref="G27:R27" si="40">G26/G9</f>
        <v>#DIV/0!</v>
      </c>
      <c r="H27" s="92" t="e">
        <f t="shared" si="40"/>
        <v>#DIV/0!</v>
      </c>
      <c r="I27" s="92" t="e">
        <f t="shared" si="40"/>
        <v>#DIV/0!</v>
      </c>
      <c r="J27" s="92" t="e">
        <f t="shared" si="40"/>
        <v>#DIV/0!</v>
      </c>
      <c r="K27" s="92" t="e">
        <f t="shared" si="40"/>
        <v>#DIV/0!</v>
      </c>
      <c r="L27" s="92" t="e">
        <f t="shared" si="40"/>
        <v>#DIV/0!</v>
      </c>
      <c r="M27" s="92" t="e">
        <f t="shared" si="40"/>
        <v>#DIV/0!</v>
      </c>
      <c r="N27" s="92" t="e">
        <f t="shared" si="40"/>
        <v>#DIV/0!</v>
      </c>
      <c r="O27" s="92" t="e">
        <f t="shared" si="40"/>
        <v>#DIV/0!</v>
      </c>
      <c r="P27" s="92" t="e">
        <f t="shared" si="40"/>
        <v>#DIV/0!</v>
      </c>
      <c r="Q27" s="92" t="e">
        <f t="shared" si="40"/>
        <v>#DIV/0!</v>
      </c>
      <c r="R27" s="92" t="e">
        <f t="shared" si="40"/>
        <v>#DIV/0!</v>
      </c>
      <c r="S27" s="92">
        <f t="shared" si="39"/>
        <v>1.2407903436616841E-2</v>
      </c>
      <c r="T27" s="2"/>
      <c r="U27" s="2"/>
      <c r="V27" s="2"/>
    </row>
    <row r="28" spans="1:26">
      <c r="T28" s="2"/>
      <c r="U28" s="2"/>
      <c r="V28" s="2"/>
    </row>
    <row r="29" spans="1:26">
      <c r="A29" s="71" t="s">
        <v>94</v>
      </c>
      <c r="S29" s="74" t="s">
        <v>147</v>
      </c>
      <c r="T29" s="2"/>
      <c r="U29" s="2"/>
      <c r="V29" s="2"/>
    </row>
    <row r="30" spans="1:26" ht="21" customHeight="1">
      <c r="A30" s="78" t="s">
        <v>95</v>
      </c>
      <c r="B30" s="83" t="s">
        <v>96</v>
      </c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2"/>
      <c r="U30" s="2"/>
      <c r="V30" s="2"/>
      <c r="X30" s="2"/>
    </row>
    <row r="31" spans="1:26">
      <c r="A31" s="75">
        <v>1</v>
      </c>
      <c r="B31" s="86" t="s">
        <v>98</v>
      </c>
      <c r="C31" s="93">
        <f>销量!C8</f>
        <v>314.25570085252076</v>
      </c>
      <c r="D31" s="93">
        <f>销量!D8</f>
        <v>274.16193870801516</v>
      </c>
      <c r="E31" s="93">
        <f>销量!E8</f>
        <v>0</v>
      </c>
      <c r="F31" s="93">
        <f>销量!F8</f>
        <v>0</v>
      </c>
      <c r="G31" s="93">
        <f>销量!G8</f>
        <v>0</v>
      </c>
      <c r="H31" s="93">
        <f>销量!H8</f>
        <v>0</v>
      </c>
      <c r="I31" s="93">
        <f>销量!I8</f>
        <v>0</v>
      </c>
      <c r="J31" s="93">
        <f>销量!J8</f>
        <v>0</v>
      </c>
      <c r="K31" s="93">
        <f>销量!K8</f>
        <v>0</v>
      </c>
      <c r="L31" s="93">
        <f>销量!L8</f>
        <v>0</v>
      </c>
      <c r="M31" s="93">
        <f>销量!M8</f>
        <v>0</v>
      </c>
      <c r="N31" s="93">
        <f>销量!N8</f>
        <v>0</v>
      </c>
      <c r="O31" s="93">
        <f>销量!O8</f>
        <v>0</v>
      </c>
      <c r="P31" s="93">
        <f>销量!P8</f>
        <v>0</v>
      </c>
      <c r="Q31" s="93">
        <f>销量!Q8</f>
        <v>0</v>
      </c>
      <c r="R31" s="93">
        <f>销量!R8</f>
        <v>0</v>
      </c>
      <c r="S31" s="89"/>
      <c r="T31" s="2"/>
      <c r="U31" s="2"/>
      <c r="V31" s="2"/>
      <c r="X31" s="2"/>
    </row>
    <row r="32" spans="1:26">
      <c r="A32" s="75">
        <v>2</v>
      </c>
      <c r="B32" s="78" t="s">
        <v>148</v>
      </c>
      <c r="C32" s="81">
        <f>C9/C6</f>
        <v>314.25570085252076</v>
      </c>
      <c r="D32" s="81">
        <f t="shared" ref="D32:F32" si="41">D9/D6</f>
        <v>274.16193870801516</v>
      </c>
      <c r="E32" s="81" t="e">
        <f t="shared" si="41"/>
        <v>#DIV/0!</v>
      </c>
      <c r="F32" s="81" t="e">
        <f t="shared" si="41"/>
        <v>#DIV/0!</v>
      </c>
      <c r="G32" s="81" t="e">
        <f t="shared" ref="G32:R32" si="42">G9/G6</f>
        <v>#DIV/0!</v>
      </c>
      <c r="H32" s="81" t="e">
        <f t="shared" si="42"/>
        <v>#DIV/0!</v>
      </c>
      <c r="I32" s="81" t="e">
        <f t="shared" si="42"/>
        <v>#DIV/0!</v>
      </c>
      <c r="J32" s="81" t="e">
        <f t="shared" si="42"/>
        <v>#DIV/0!</v>
      </c>
      <c r="K32" s="81" t="e">
        <f t="shared" si="42"/>
        <v>#DIV/0!</v>
      </c>
      <c r="L32" s="81" t="e">
        <f t="shared" si="42"/>
        <v>#DIV/0!</v>
      </c>
      <c r="M32" s="81" t="e">
        <f t="shared" si="42"/>
        <v>#DIV/0!</v>
      </c>
      <c r="N32" s="81" t="e">
        <f t="shared" si="42"/>
        <v>#DIV/0!</v>
      </c>
      <c r="O32" s="81" t="e">
        <f t="shared" si="42"/>
        <v>#DIV/0!</v>
      </c>
      <c r="P32" s="81" t="e">
        <f t="shared" si="42"/>
        <v>#DIV/0!</v>
      </c>
      <c r="Q32" s="81" t="e">
        <f t="shared" si="42"/>
        <v>#DIV/0!</v>
      </c>
      <c r="R32" s="81" t="e">
        <f t="shared" si="42"/>
        <v>#DIV/0!</v>
      </c>
      <c r="S32" s="89"/>
      <c r="T32" s="2"/>
      <c r="U32" s="2"/>
      <c r="V32" s="2"/>
      <c r="W32" s="2"/>
      <c r="X32" s="2"/>
      <c r="Y32" s="2"/>
      <c r="Z32" s="2"/>
    </row>
    <row r="33" spans="1:29">
      <c r="A33" s="75">
        <v>3</v>
      </c>
      <c r="B33" s="86" t="s">
        <v>99</v>
      </c>
      <c r="C33" s="81">
        <f>材料成本!D28</f>
        <v>219.97899059676453</v>
      </c>
      <c r="D33" s="81">
        <f>材料成本!E28</f>
        <v>191.91335709561059</v>
      </c>
      <c r="E33" s="81">
        <f>材料成本!F28</f>
        <v>0</v>
      </c>
      <c r="F33" s="81">
        <f>材料成本!G28</f>
        <v>0</v>
      </c>
      <c r="G33" s="81">
        <f>材料成本!H28</f>
        <v>0</v>
      </c>
      <c r="H33" s="81">
        <f>材料成本!I28</f>
        <v>0</v>
      </c>
      <c r="I33" s="81">
        <f>材料成本!J28</f>
        <v>0</v>
      </c>
      <c r="J33" s="81">
        <f>材料成本!K28</f>
        <v>0</v>
      </c>
      <c r="K33" s="81">
        <f>材料成本!L28</f>
        <v>0</v>
      </c>
      <c r="L33" s="81">
        <f>材料成本!M28</f>
        <v>0</v>
      </c>
      <c r="M33" s="81">
        <f>材料成本!N28</f>
        <v>0</v>
      </c>
      <c r="N33" s="81">
        <f>材料成本!O28</f>
        <v>0</v>
      </c>
      <c r="O33" s="81">
        <f>材料成本!P28</f>
        <v>0</v>
      </c>
      <c r="P33" s="81">
        <f>材料成本!Q28</f>
        <v>0</v>
      </c>
      <c r="Q33" s="81">
        <f>材料成本!R28</f>
        <v>0</v>
      </c>
      <c r="R33" s="81">
        <f>材料成本!S28</f>
        <v>0</v>
      </c>
      <c r="S33" s="89"/>
      <c r="U33" s="2"/>
      <c r="V33" s="2"/>
      <c r="W33" s="2"/>
      <c r="X33" s="2"/>
      <c r="Y33" s="2"/>
      <c r="Z33" s="2"/>
    </row>
    <row r="34" spans="1:29" ht="17.25" customHeight="1">
      <c r="A34" s="75">
        <v>4</v>
      </c>
      <c r="B34" s="78" t="s">
        <v>101</v>
      </c>
      <c r="C34" s="94">
        <f>C32-C33</f>
        <v>94.276710255756228</v>
      </c>
      <c r="D34" s="94">
        <f>D32-D33</f>
        <v>82.248581612404564</v>
      </c>
      <c r="E34" s="94" t="e">
        <f t="shared" ref="E34:F34" si="43">E32-E33</f>
        <v>#DIV/0!</v>
      </c>
      <c r="F34" s="94" t="e">
        <f t="shared" si="43"/>
        <v>#DIV/0!</v>
      </c>
      <c r="G34" s="94" t="e">
        <f t="shared" ref="G34:R34" si="44">G32-G33</f>
        <v>#DIV/0!</v>
      </c>
      <c r="H34" s="94" t="e">
        <f t="shared" si="44"/>
        <v>#DIV/0!</v>
      </c>
      <c r="I34" s="94" t="e">
        <f t="shared" si="44"/>
        <v>#DIV/0!</v>
      </c>
      <c r="J34" s="94" t="e">
        <f t="shared" si="44"/>
        <v>#DIV/0!</v>
      </c>
      <c r="K34" s="94" t="e">
        <f t="shared" si="44"/>
        <v>#DIV/0!</v>
      </c>
      <c r="L34" s="94" t="e">
        <f t="shared" si="44"/>
        <v>#DIV/0!</v>
      </c>
      <c r="M34" s="94" t="e">
        <f t="shared" si="44"/>
        <v>#DIV/0!</v>
      </c>
      <c r="N34" s="94" t="e">
        <f t="shared" si="44"/>
        <v>#DIV/0!</v>
      </c>
      <c r="O34" s="94" t="e">
        <f t="shared" si="44"/>
        <v>#DIV/0!</v>
      </c>
      <c r="P34" s="94" t="e">
        <f t="shared" si="44"/>
        <v>#DIV/0!</v>
      </c>
      <c r="Q34" s="94" t="e">
        <f t="shared" si="44"/>
        <v>#DIV/0!</v>
      </c>
      <c r="R34" s="94" t="e">
        <f t="shared" si="44"/>
        <v>#DIV/0!</v>
      </c>
      <c r="S34" s="89"/>
      <c r="U34" s="2"/>
      <c r="V34" s="2"/>
      <c r="W34" s="2"/>
      <c r="X34" s="2"/>
      <c r="Y34" s="2"/>
      <c r="Z34" s="2"/>
    </row>
    <row r="35" spans="1:29">
      <c r="A35" s="78" t="s">
        <v>97</v>
      </c>
      <c r="B35" s="83" t="s">
        <v>9</v>
      </c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1:29">
      <c r="A36" s="75">
        <v>1</v>
      </c>
      <c r="B36" s="78" t="s">
        <v>104</v>
      </c>
      <c r="C36" s="87">
        <f>'2026年'!C36</f>
        <v>25.077604928031157</v>
      </c>
      <c r="D36" s="87">
        <f>'2026年'!D36</f>
        <v>21.878122708899607</v>
      </c>
      <c r="E36" s="87">
        <f>'2026年'!E36</f>
        <v>0</v>
      </c>
      <c r="F36" s="87">
        <f>'2026年'!F36</f>
        <v>0</v>
      </c>
      <c r="G36" s="87">
        <f>'2026年'!G36</f>
        <v>0</v>
      </c>
      <c r="H36" s="87">
        <f>'2026年'!H36</f>
        <v>0</v>
      </c>
      <c r="I36" s="87">
        <f>'2026年'!I36</f>
        <v>0</v>
      </c>
      <c r="J36" s="87">
        <f>'2026年'!J36</f>
        <v>0</v>
      </c>
      <c r="K36" s="87">
        <f>'2026年'!K36</f>
        <v>0</v>
      </c>
      <c r="L36" s="87">
        <f>'2026年'!L36</f>
        <v>0</v>
      </c>
      <c r="M36" s="87">
        <f>'2026年'!M36</f>
        <v>0</v>
      </c>
      <c r="N36" s="87">
        <f>'2026年'!N36</f>
        <v>0</v>
      </c>
      <c r="O36" s="87">
        <f>'2026年'!O36</f>
        <v>0</v>
      </c>
      <c r="P36" s="87">
        <f>'2026年'!P36</f>
        <v>0</v>
      </c>
      <c r="Q36" s="87">
        <f>'2026年'!Q36</f>
        <v>0</v>
      </c>
      <c r="R36" s="87">
        <f>'2026年'!R36</f>
        <v>0</v>
      </c>
      <c r="S36" s="93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>
      <c r="A37" s="75">
        <v>2</v>
      </c>
      <c r="B37" s="78" t="s">
        <v>105</v>
      </c>
      <c r="C37" s="87">
        <f>'2026年'!C37</f>
        <v>16.498424294757342</v>
      </c>
      <c r="D37" s="87">
        <f>'2026年'!D37</f>
        <v>14.393501782170796</v>
      </c>
      <c r="E37" s="87">
        <f>'2026年'!E37</f>
        <v>0</v>
      </c>
      <c r="F37" s="87">
        <f>'2026年'!F37</f>
        <v>0</v>
      </c>
      <c r="G37" s="87">
        <f>'2026年'!G37</f>
        <v>0</v>
      </c>
      <c r="H37" s="87">
        <f>'2026年'!H37</f>
        <v>0</v>
      </c>
      <c r="I37" s="87">
        <f>'2026年'!I37</f>
        <v>0</v>
      </c>
      <c r="J37" s="87">
        <f>'2026年'!J37</f>
        <v>0</v>
      </c>
      <c r="K37" s="87">
        <f>'2026年'!K37</f>
        <v>0</v>
      </c>
      <c r="L37" s="87">
        <f>'2026年'!L37</f>
        <v>0</v>
      </c>
      <c r="M37" s="87">
        <f>'2026年'!M37</f>
        <v>0</v>
      </c>
      <c r="N37" s="87">
        <f>'2026年'!N37</f>
        <v>0</v>
      </c>
      <c r="O37" s="87">
        <f>'2026年'!O37</f>
        <v>0</v>
      </c>
      <c r="P37" s="87">
        <f>'2026年'!P37</f>
        <v>0</v>
      </c>
      <c r="Q37" s="87">
        <f>'2026年'!Q37</f>
        <v>0</v>
      </c>
      <c r="R37" s="87">
        <f>'2026年'!R37</f>
        <v>0</v>
      </c>
      <c r="S37" s="93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>
      <c r="A38" s="75">
        <v>3</v>
      </c>
      <c r="B38" s="78" t="s">
        <v>106</v>
      </c>
      <c r="C38" s="87">
        <f>'2026年'!C38</f>
        <v>7.3535833999489846</v>
      </c>
      <c r="D38" s="87">
        <f>'2026年'!D38</f>
        <v>6.4153893657675543</v>
      </c>
      <c r="E38" s="87">
        <f>'2026年'!E38</f>
        <v>0</v>
      </c>
      <c r="F38" s="87">
        <f>'2026年'!F38</f>
        <v>0</v>
      </c>
      <c r="G38" s="87">
        <f>'2026年'!G38</f>
        <v>0</v>
      </c>
      <c r="H38" s="87">
        <f>'2026年'!H38</f>
        <v>0</v>
      </c>
      <c r="I38" s="87">
        <f>'2026年'!I38</f>
        <v>0</v>
      </c>
      <c r="J38" s="87">
        <f>'2026年'!J38</f>
        <v>0</v>
      </c>
      <c r="K38" s="87">
        <f>'2026年'!K38</f>
        <v>0</v>
      </c>
      <c r="L38" s="87">
        <f>'2026年'!L38</f>
        <v>0</v>
      </c>
      <c r="M38" s="87">
        <f>'2026年'!M38</f>
        <v>0</v>
      </c>
      <c r="N38" s="87">
        <f>'2026年'!N38</f>
        <v>0</v>
      </c>
      <c r="O38" s="87">
        <f>'2026年'!O38</f>
        <v>0</v>
      </c>
      <c r="P38" s="87">
        <f>'2026年'!P38</f>
        <v>0</v>
      </c>
      <c r="Q38" s="87">
        <f>'2026年'!Q38</f>
        <v>0</v>
      </c>
      <c r="R38" s="87">
        <f>'2026年'!R38</f>
        <v>0</v>
      </c>
      <c r="S38" s="93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>
      <c r="A39" s="78" t="s">
        <v>103</v>
      </c>
      <c r="B39" s="83" t="s">
        <v>108</v>
      </c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</row>
    <row r="40" spans="1:29">
      <c r="A40" s="75">
        <v>1</v>
      </c>
      <c r="B40" s="78" t="s">
        <v>109</v>
      </c>
      <c r="C40" s="89">
        <f>C34-C36-C37-C38</f>
        <v>45.347097633018748</v>
      </c>
      <c r="D40" s="89">
        <f>D34-D36-D37-D38</f>
        <v>39.561567755566607</v>
      </c>
      <c r="E40" s="89" t="e">
        <f t="shared" ref="E40:F40" si="45">E34-E36-E37-E38</f>
        <v>#DIV/0!</v>
      </c>
      <c r="F40" s="89" t="e">
        <f t="shared" si="45"/>
        <v>#DIV/0!</v>
      </c>
      <c r="G40" s="89" t="e">
        <f t="shared" ref="G40:R40" si="46">G34-G36-G37-G38</f>
        <v>#DIV/0!</v>
      </c>
      <c r="H40" s="89" t="e">
        <f t="shared" si="46"/>
        <v>#DIV/0!</v>
      </c>
      <c r="I40" s="89" t="e">
        <f t="shared" si="46"/>
        <v>#DIV/0!</v>
      </c>
      <c r="J40" s="89" t="e">
        <f t="shared" si="46"/>
        <v>#DIV/0!</v>
      </c>
      <c r="K40" s="89" t="e">
        <f t="shared" si="46"/>
        <v>#DIV/0!</v>
      </c>
      <c r="L40" s="89" t="e">
        <f t="shared" si="46"/>
        <v>#DIV/0!</v>
      </c>
      <c r="M40" s="89" t="e">
        <f t="shared" si="46"/>
        <v>#DIV/0!</v>
      </c>
      <c r="N40" s="89" t="e">
        <f t="shared" si="46"/>
        <v>#DIV/0!</v>
      </c>
      <c r="O40" s="89" t="e">
        <f t="shared" si="46"/>
        <v>#DIV/0!</v>
      </c>
      <c r="P40" s="89" t="e">
        <f t="shared" si="46"/>
        <v>#DIV/0!</v>
      </c>
      <c r="Q40" s="89" t="e">
        <f t="shared" si="46"/>
        <v>#DIV/0!</v>
      </c>
      <c r="R40" s="89" t="e">
        <f t="shared" si="46"/>
        <v>#DIV/0!</v>
      </c>
      <c r="S40" s="89"/>
    </row>
    <row r="41" spans="1:29">
      <c r="A41" s="75">
        <v>2</v>
      </c>
      <c r="B41" s="78" t="s">
        <v>110</v>
      </c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</row>
    <row r="42" spans="1:29">
      <c r="A42" s="78" t="s">
        <v>107</v>
      </c>
      <c r="B42" s="83" t="s">
        <v>112</v>
      </c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</row>
    <row r="43" spans="1:29">
      <c r="A43" s="75">
        <v>1</v>
      </c>
      <c r="B43" s="90" t="s">
        <v>113</v>
      </c>
      <c r="C43" s="87">
        <f>'2026年'!C43</f>
        <v>19.892385863964563</v>
      </c>
      <c r="D43" s="87">
        <f>'2026年'!D43</f>
        <v>17.354450720217358</v>
      </c>
      <c r="E43" s="87">
        <f>'2026年'!E43</f>
        <v>0</v>
      </c>
      <c r="F43" s="87">
        <f>'2026年'!F43</f>
        <v>0</v>
      </c>
      <c r="G43" s="87">
        <f>'2026年'!G43</f>
        <v>0</v>
      </c>
      <c r="H43" s="87">
        <f>'2026年'!H43</f>
        <v>0</v>
      </c>
      <c r="I43" s="87">
        <f>'2026年'!I43</f>
        <v>0</v>
      </c>
      <c r="J43" s="87">
        <f>'2026年'!J43</f>
        <v>0</v>
      </c>
      <c r="K43" s="87">
        <f>'2026年'!K43</f>
        <v>0</v>
      </c>
      <c r="L43" s="87">
        <f>'2026年'!L43</f>
        <v>0</v>
      </c>
      <c r="M43" s="87">
        <f>'2026年'!M43</f>
        <v>0</v>
      </c>
      <c r="N43" s="87">
        <f>'2026年'!N43</f>
        <v>0</v>
      </c>
      <c r="O43" s="87">
        <f>'2026年'!O43</f>
        <v>0</v>
      </c>
      <c r="P43" s="87">
        <f>'2026年'!P43</f>
        <v>0</v>
      </c>
      <c r="Q43" s="87">
        <f>'2026年'!Q43</f>
        <v>0</v>
      </c>
      <c r="R43" s="87">
        <f>'2026年'!R43</f>
        <v>0</v>
      </c>
      <c r="S43" s="89"/>
    </row>
    <row r="44" spans="1:29">
      <c r="A44" s="75">
        <v>2</v>
      </c>
      <c r="B44" s="90" t="s">
        <v>114</v>
      </c>
      <c r="C44" s="87">
        <f>'2026年'!C44</f>
        <v>0</v>
      </c>
      <c r="D44" s="87">
        <f>'2026年'!D44</f>
        <v>0</v>
      </c>
      <c r="E44" s="87">
        <f>'2026年'!E44</f>
        <v>0</v>
      </c>
      <c r="F44" s="87">
        <f>'2026年'!F44</f>
        <v>0</v>
      </c>
      <c r="G44" s="87">
        <f>'2026年'!G44</f>
        <v>0</v>
      </c>
      <c r="H44" s="87">
        <f>'2026年'!H44</f>
        <v>0</v>
      </c>
      <c r="I44" s="87">
        <f>'2026年'!I44</f>
        <v>0</v>
      </c>
      <c r="J44" s="87">
        <f>'2026年'!J44</f>
        <v>0</v>
      </c>
      <c r="K44" s="87">
        <f>'2026年'!K44</f>
        <v>0</v>
      </c>
      <c r="L44" s="87">
        <f>'2026年'!L44</f>
        <v>0</v>
      </c>
      <c r="M44" s="87">
        <f>'2026年'!M44</f>
        <v>0</v>
      </c>
      <c r="N44" s="87">
        <f>'2026年'!N44</f>
        <v>0</v>
      </c>
      <c r="O44" s="87">
        <f>'2026年'!O44</f>
        <v>0</v>
      </c>
      <c r="P44" s="87">
        <f>'2026年'!P44</f>
        <v>0</v>
      </c>
      <c r="Q44" s="87">
        <f>'2026年'!Q44</f>
        <v>0</v>
      </c>
      <c r="R44" s="87">
        <f>'2026年'!R44</f>
        <v>0</v>
      </c>
      <c r="S44" s="89"/>
    </row>
    <row r="45" spans="1:29">
      <c r="A45" s="75">
        <v>3</v>
      </c>
      <c r="B45" s="90" t="s">
        <v>115</v>
      </c>
      <c r="C45" s="87">
        <f>'2026年'!C45</f>
        <v>1.5398529341773517</v>
      </c>
      <c r="D45" s="87">
        <f>'2026年'!D45</f>
        <v>1.3433934996692742</v>
      </c>
      <c r="E45" s="87">
        <f>'2026年'!E45</f>
        <v>0</v>
      </c>
      <c r="F45" s="87">
        <f>'2026年'!F45</f>
        <v>0</v>
      </c>
      <c r="G45" s="87">
        <f>'2026年'!G45</f>
        <v>0</v>
      </c>
      <c r="H45" s="87">
        <f>'2026年'!H45</f>
        <v>0</v>
      </c>
      <c r="I45" s="87">
        <f>'2026年'!I45</f>
        <v>0</v>
      </c>
      <c r="J45" s="87">
        <f>'2026年'!J45</f>
        <v>0</v>
      </c>
      <c r="K45" s="87">
        <f>'2026年'!K45</f>
        <v>0</v>
      </c>
      <c r="L45" s="87">
        <f>'2026年'!L45</f>
        <v>0</v>
      </c>
      <c r="M45" s="87">
        <f>'2026年'!M45</f>
        <v>0</v>
      </c>
      <c r="N45" s="87">
        <f>'2026年'!N45</f>
        <v>0</v>
      </c>
      <c r="O45" s="87">
        <f>'2026年'!O45</f>
        <v>0</v>
      </c>
      <c r="P45" s="87">
        <f>'2026年'!P45</f>
        <v>0</v>
      </c>
      <c r="Q45" s="87">
        <f>'2026年'!Q45</f>
        <v>0</v>
      </c>
      <c r="R45" s="87">
        <f>'2026年'!R45</f>
        <v>0</v>
      </c>
      <c r="S45" s="89"/>
    </row>
    <row r="46" spans="1:29" s="73" customFormat="1">
      <c r="A46" s="75">
        <v>4</v>
      </c>
      <c r="B46" s="90" t="s">
        <v>116</v>
      </c>
      <c r="C46" s="95">
        <f>C21/C6</f>
        <v>0.5</v>
      </c>
      <c r="D46" s="95">
        <f>D21/D6</f>
        <v>0.5</v>
      </c>
      <c r="E46" s="95" t="e">
        <f t="shared" ref="E46:F46" si="47">E21/E6</f>
        <v>#DIV/0!</v>
      </c>
      <c r="F46" s="95" t="e">
        <f t="shared" si="47"/>
        <v>#DIV/0!</v>
      </c>
      <c r="G46" s="95" t="e">
        <f t="shared" ref="G46:R46" si="48">G21/G6</f>
        <v>#DIV/0!</v>
      </c>
      <c r="H46" s="95" t="e">
        <f t="shared" si="48"/>
        <v>#DIV/0!</v>
      </c>
      <c r="I46" s="95" t="e">
        <f t="shared" si="48"/>
        <v>#DIV/0!</v>
      </c>
      <c r="J46" s="95" t="e">
        <f t="shared" si="48"/>
        <v>#DIV/0!</v>
      </c>
      <c r="K46" s="95" t="e">
        <f t="shared" si="48"/>
        <v>#DIV/0!</v>
      </c>
      <c r="L46" s="95" t="e">
        <f t="shared" si="48"/>
        <v>#DIV/0!</v>
      </c>
      <c r="M46" s="95" t="e">
        <f t="shared" si="48"/>
        <v>#DIV/0!</v>
      </c>
      <c r="N46" s="95" t="e">
        <f t="shared" si="48"/>
        <v>#DIV/0!</v>
      </c>
      <c r="O46" s="95" t="e">
        <f t="shared" si="48"/>
        <v>#DIV/0!</v>
      </c>
      <c r="P46" s="95" t="e">
        <f t="shared" si="48"/>
        <v>#DIV/0!</v>
      </c>
      <c r="Q46" s="95" t="e">
        <f t="shared" si="48"/>
        <v>#DIV/0!</v>
      </c>
      <c r="R46" s="95" t="e">
        <f t="shared" si="48"/>
        <v>#DIV/0!</v>
      </c>
      <c r="S46" s="95"/>
    </row>
    <row r="47" spans="1:29" s="73" customFormat="1">
      <c r="A47" s="75">
        <v>5</v>
      </c>
      <c r="B47" s="90" t="s">
        <v>118</v>
      </c>
      <c r="C47" s="87">
        <f>'2026年'!C47</f>
        <v>11.690312071713771</v>
      </c>
      <c r="D47" s="87">
        <f>'2026年'!D47</f>
        <v>10.198824119938163</v>
      </c>
      <c r="E47" s="87">
        <f>'2026年'!E47</f>
        <v>0</v>
      </c>
      <c r="F47" s="87">
        <f>'2026年'!F47</f>
        <v>0</v>
      </c>
      <c r="G47" s="87">
        <f>'2026年'!G47</f>
        <v>0</v>
      </c>
      <c r="H47" s="87">
        <f>'2026年'!H47</f>
        <v>0</v>
      </c>
      <c r="I47" s="87">
        <f>'2026年'!I47</f>
        <v>0</v>
      </c>
      <c r="J47" s="87">
        <f>'2026年'!J47</f>
        <v>0</v>
      </c>
      <c r="K47" s="87">
        <f>'2026年'!K47</f>
        <v>0</v>
      </c>
      <c r="L47" s="87">
        <f>'2026年'!L47</f>
        <v>0</v>
      </c>
      <c r="M47" s="87">
        <f>'2026年'!M47</f>
        <v>0</v>
      </c>
      <c r="N47" s="87">
        <f>'2026年'!N47</f>
        <v>0</v>
      </c>
      <c r="O47" s="87">
        <f>'2026年'!O47</f>
        <v>0</v>
      </c>
      <c r="P47" s="87">
        <f>'2026年'!P47</f>
        <v>0</v>
      </c>
      <c r="Q47" s="87">
        <f>'2026年'!Q47</f>
        <v>0</v>
      </c>
      <c r="R47" s="87">
        <f>'2026年'!R47</f>
        <v>0</v>
      </c>
      <c r="S47" s="95"/>
    </row>
    <row r="48" spans="1:29">
      <c r="A48" s="78" t="s">
        <v>111</v>
      </c>
      <c r="B48" s="83" t="s">
        <v>129</v>
      </c>
      <c r="C48" s="89">
        <f>C40-C43-C44-C45-C47-C46</f>
        <v>11.724546763163064</v>
      </c>
      <c r="D48" s="89">
        <f>D40-D43-D44-D45-D47-D46</f>
        <v>10.164899415741811</v>
      </c>
      <c r="E48" s="89" t="e">
        <f t="shared" ref="E48:F48" si="49">E40-E43-E44-E45-E47-E46</f>
        <v>#DIV/0!</v>
      </c>
      <c r="F48" s="89" t="e">
        <f t="shared" si="49"/>
        <v>#DIV/0!</v>
      </c>
      <c r="G48" s="89" t="e">
        <f t="shared" ref="G48:R48" si="50">G40-G43-G44-G45-G47-G46</f>
        <v>#DIV/0!</v>
      </c>
      <c r="H48" s="89" t="e">
        <f t="shared" si="50"/>
        <v>#DIV/0!</v>
      </c>
      <c r="I48" s="89" t="e">
        <f t="shared" si="50"/>
        <v>#DIV/0!</v>
      </c>
      <c r="J48" s="89" t="e">
        <f t="shared" si="50"/>
        <v>#DIV/0!</v>
      </c>
      <c r="K48" s="89" t="e">
        <f t="shared" si="50"/>
        <v>#DIV/0!</v>
      </c>
      <c r="L48" s="89" t="e">
        <f t="shared" si="50"/>
        <v>#DIV/0!</v>
      </c>
      <c r="M48" s="89" t="e">
        <f t="shared" si="50"/>
        <v>#DIV/0!</v>
      </c>
      <c r="N48" s="89" t="e">
        <f t="shared" si="50"/>
        <v>#DIV/0!</v>
      </c>
      <c r="O48" s="89" t="e">
        <f t="shared" si="50"/>
        <v>#DIV/0!</v>
      </c>
      <c r="P48" s="89" t="e">
        <f t="shared" si="50"/>
        <v>#DIV/0!</v>
      </c>
      <c r="Q48" s="89" t="e">
        <f t="shared" si="50"/>
        <v>#DIV/0!</v>
      </c>
      <c r="R48" s="89" t="e">
        <f t="shared" si="50"/>
        <v>#DIV/0!</v>
      </c>
      <c r="S48" s="89"/>
    </row>
    <row r="51" spans="2:24"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</row>
    <row r="54" spans="2:24">
      <c r="B54" s="2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2"/>
      <c r="U54" s="2"/>
      <c r="V54" s="2"/>
      <c r="W54" s="2"/>
      <c r="X54" s="2"/>
    </row>
    <row r="55" spans="2:24">
      <c r="B55" s="2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2"/>
      <c r="U55" s="2"/>
      <c r="V55" s="2"/>
      <c r="W55" s="2"/>
      <c r="X55" s="2"/>
    </row>
    <row r="56" spans="2:24">
      <c r="B56" s="2"/>
      <c r="C56" s="97"/>
      <c r="D56" s="97"/>
      <c r="E56" s="97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2"/>
      <c r="U56" s="2"/>
      <c r="V56" s="2"/>
      <c r="W56" s="2"/>
      <c r="X56" s="2"/>
    </row>
    <row r="57" spans="2:24">
      <c r="B57" s="2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2"/>
      <c r="U57" s="2"/>
      <c r="V57" s="2"/>
      <c r="W57" s="2"/>
      <c r="X57" s="2"/>
    </row>
    <row r="58" spans="2:24">
      <c r="B58" s="2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2"/>
      <c r="U58" s="2"/>
      <c r="V58" s="2"/>
      <c r="W58" s="2"/>
      <c r="X58" s="2"/>
    </row>
    <row r="59" spans="2:24">
      <c r="B59" s="2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2"/>
      <c r="U59" s="2"/>
      <c r="V59" s="2"/>
      <c r="W59" s="2"/>
      <c r="X59" s="2"/>
    </row>
    <row r="60" spans="2:24">
      <c r="B60" s="2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2"/>
      <c r="U60" s="2"/>
      <c r="V60" s="2"/>
      <c r="W60" s="2"/>
      <c r="X60" s="2"/>
    </row>
    <row r="61" spans="2:24">
      <c r="B61" s="2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2"/>
      <c r="U61" s="2"/>
      <c r="V61" s="2"/>
      <c r="W61" s="2"/>
      <c r="X61" s="2"/>
    </row>
    <row r="62" spans="2:24">
      <c r="B62" s="2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2"/>
      <c r="U62" s="2"/>
      <c r="V62" s="2"/>
      <c r="W62" s="2"/>
      <c r="X62" s="2"/>
    </row>
    <row r="63" spans="2:24">
      <c r="B63" s="2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2"/>
      <c r="U63" s="2"/>
      <c r="V63" s="2"/>
      <c r="W63" s="2"/>
      <c r="X63" s="2"/>
    </row>
    <row r="64" spans="2:24">
      <c r="B64" s="2"/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2"/>
      <c r="U64" s="2"/>
      <c r="V64" s="2"/>
      <c r="W64" s="2"/>
      <c r="X64" s="2"/>
    </row>
    <row r="65" spans="2:24">
      <c r="B65" s="2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2"/>
      <c r="U65" s="2"/>
      <c r="V65" s="2"/>
      <c r="W65" s="2"/>
      <c r="X65" s="2"/>
    </row>
    <row r="66" spans="2:24">
      <c r="B66" s="2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2"/>
      <c r="U66" s="2"/>
      <c r="V66" s="2"/>
      <c r="W66" s="2"/>
      <c r="X66" s="2"/>
    </row>
    <row r="67" spans="2:24">
      <c r="B67" s="2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2"/>
    </row>
    <row r="68" spans="2:24">
      <c r="B68" s="2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2"/>
    </row>
    <row r="69" spans="2:24">
      <c r="B69" s="2"/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2"/>
    </row>
    <row r="70" spans="2:24">
      <c r="B70" s="2"/>
      <c r="C70" s="97"/>
      <c r="D70" s="97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2"/>
    </row>
    <row r="71" spans="2:24">
      <c r="B71" s="2"/>
      <c r="C71" s="97"/>
      <c r="D71" s="97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2"/>
    </row>
    <row r="72" spans="2:24">
      <c r="B72" s="2"/>
      <c r="C72" s="97"/>
      <c r="D72" s="97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2"/>
    </row>
    <row r="73" spans="2:24">
      <c r="B73" s="2"/>
      <c r="C73" s="97"/>
      <c r="D73" s="97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2"/>
    </row>
    <row r="74" spans="2:24">
      <c r="B74" s="2"/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2"/>
    </row>
  </sheetData>
  <mergeCells count="8">
    <mergeCell ref="A4:B4"/>
    <mergeCell ref="A5:B5"/>
    <mergeCell ref="S3:S5"/>
    <mergeCell ref="A1:B1"/>
    <mergeCell ref="C1:S1"/>
    <mergeCell ref="A2:B2"/>
    <mergeCell ref="C2:S2"/>
    <mergeCell ref="A3:B3"/>
  </mergeCells>
  <phoneticPr fontId="45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zoomScale="80" zoomScaleNormal="80" workbookViewId="0">
      <pane xSplit="6" ySplit="2" topLeftCell="G3" activePane="bottomRight" state="frozen"/>
      <selection pane="topRight"/>
      <selection pane="bottomLeft"/>
      <selection pane="bottomRight" activeCell="G35" sqref="G35"/>
    </sheetView>
  </sheetViews>
  <sheetFormatPr defaultColWidth="9" defaultRowHeight="13.5"/>
  <cols>
    <col min="1" max="1" width="19.5" customWidth="1"/>
    <col min="2" max="2" width="14.875" style="44" customWidth="1"/>
    <col min="3" max="3" width="9.25" customWidth="1"/>
    <col min="4" max="4" width="15.5" customWidth="1"/>
    <col min="5" max="5" width="14.875" customWidth="1"/>
    <col min="6" max="6" width="15.5" customWidth="1"/>
    <col min="7" max="7" width="15.125" customWidth="1"/>
    <col min="8" max="8" width="14" customWidth="1"/>
    <col min="9" max="9" width="14.875" customWidth="1"/>
    <col min="10" max="10" width="13" customWidth="1"/>
    <col min="11" max="11" width="15.625"/>
    <col min="12" max="12" width="12.5"/>
  </cols>
  <sheetData>
    <row r="1" spans="1:10" ht="41.25" customHeight="1">
      <c r="A1" s="249" t="s">
        <v>278</v>
      </c>
      <c r="B1" s="249"/>
      <c r="C1" s="249"/>
      <c r="E1" s="250" t="s">
        <v>253</v>
      </c>
      <c r="F1" s="251"/>
      <c r="G1" s="251"/>
      <c r="H1" s="252"/>
    </row>
    <row r="2" spans="1:10" ht="23.45" customHeight="1">
      <c r="A2" s="45" t="s">
        <v>1</v>
      </c>
      <c r="B2" s="46" t="s">
        <v>149</v>
      </c>
      <c r="C2" s="47" t="s">
        <v>150</v>
      </c>
      <c r="E2" s="48" t="s">
        <v>151</v>
      </c>
      <c r="F2" s="48" t="s">
        <v>1</v>
      </c>
      <c r="G2" s="49" t="s">
        <v>152</v>
      </c>
      <c r="H2" s="48" t="s">
        <v>150</v>
      </c>
    </row>
    <row r="3" spans="1:10" ht="15.75" customHeight="1">
      <c r="A3" s="50" t="s">
        <v>153</v>
      </c>
      <c r="B3" s="51"/>
      <c r="C3" s="52"/>
      <c r="E3" s="257" t="s">
        <v>154</v>
      </c>
      <c r="F3" s="53" t="s">
        <v>155</v>
      </c>
      <c r="G3" s="54"/>
      <c r="H3" s="53"/>
    </row>
    <row r="4" spans="1:10" ht="15.75" customHeight="1">
      <c r="A4" s="50" t="s">
        <v>156</v>
      </c>
      <c r="B4" s="51"/>
      <c r="C4" s="55"/>
      <c r="E4" s="258"/>
      <c r="F4" s="53" t="s">
        <v>157</v>
      </c>
      <c r="G4" s="54"/>
      <c r="H4" s="53"/>
    </row>
    <row r="5" spans="1:10" ht="15.75" customHeight="1">
      <c r="A5" s="50" t="s">
        <v>158</v>
      </c>
      <c r="B5" s="56">
        <f>SUM(G3:G4)</f>
        <v>0</v>
      </c>
      <c r="C5" s="52"/>
      <c r="E5" s="259" t="s">
        <v>159</v>
      </c>
      <c r="F5" s="57" t="s">
        <v>160</v>
      </c>
      <c r="G5" s="54"/>
      <c r="H5" s="57"/>
    </row>
    <row r="6" spans="1:10" ht="15.75" customHeight="1">
      <c r="A6" s="50" t="s">
        <v>161</v>
      </c>
      <c r="B6" s="51"/>
      <c r="C6" s="52"/>
      <c r="E6" s="260"/>
      <c r="F6" s="57" t="s">
        <v>162</v>
      </c>
      <c r="G6" s="54">
        <v>110</v>
      </c>
      <c r="H6" s="170" t="s">
        <v>305</v>
      </c>
      <c r="J6">
        <v>10000</v>
      </c>
    </row>
    <row r="7" spans="1:10" ht="15.75" customHeight="1">
      <c r="A7" s="58" t="s">
        <v>163</v>
      </c>
      <c r="B7" s="56">
        <f>SUM(B3:B6)</f>
        <v>0</v>
      </c>
      <c r="C7" s="52"/>
      <c r="E7" s="260"/>
      <c r="F7" s="57" t="s">
        <v>164</v>
      </c>
      <c r="G7" s="54"/>
      <c r="H7" s="170"/>
    </row>
    <row r="8" spans="1:10" ht="15.75" customHeight="1">
      <c r="A8" s="59" t="s">
        <v>165</v>
      </c>
      <c r="B8" s="56">
        <f>SUM(G5:G12)</f>
        <v>140</v>
      </c>
      <c r="C8" s="60"/>
      <c r="E8" s="260"/>
      <c r="F8" s="57" t="s">
        <v>166</v>
      </c>
      <c r="G8" s="54"/>
      <c r="H8" s="170"/>
    </row>
    <row r="9" spans="1:10" ht="15.75" customHeight="1">
      <c r="A9" s="50" t="s">
        <v>167</v>
      </c>
      <c r="B9" s="56">
        <f>SUM(G13:G21)</f>
        <v>10</v>
      </c>
      <c r="C9" s="52"/>
      <c r="E9" s="260"/>
      <c r="F9" s="53" t="s">
        <v>168</v>
      </c>
      <c r="G9" s="54">
        <v>30</v>
      </c>
      <c r="H9" s="170" t="s">
        <v>306</v>
      </c>
    </row>
    <row r="10" spans="1:10" ht="15.75" customHeight="1">
      <c r="A10" s="55" t="s">
        <v>49</v>
      </c>
      <c r="B10" s="56">
        <f>B7+B8+B9</f>
        <v>150</v>
      </c>
      <c r="C10" s="52"/>
      <c r="E10" s="260"/>
      <c r="F10" s="53" t="s">
        <v>169</v>
      </c>
      <c r="G10" s="61"/>
      <c r="H10" s="170"/>
    </row>
    <row r="11" spans="1:10" ht="15.75" customHeight="1">
      <c r="E11" s="260"/>
      <c r="F11" s="53" t="s">
        <v>170</v>
      </c>
      <c r="G11" s="61"/>
      <c r="H11" s="170"/>
    </row>
    <row r="12" spans="1:10" ht="15.75" customHeight="1">
      <c r="E12" s="261"/>
      <c r="F12" s="53" t="s">
        <v>171</v>
      </c>
      <c r="G12" s="54"/>
      <c r="H12" s="170"/>
    </row>
    <row r="13" spans="1:10" ht="15.75" customHeight="1">
      <c r="E13" s="257" t="s">
        <v>81</v>
      </c>
      <c r="F13" s="53" t="s">
        <v>172</v>
      </c>
      <c r="G13" s="54"/>
      <c r="H13" s="171"/>
    </row>
    <row r="14" spans="1:10" ht="15.75" customHeight="1">
      <c r="E14" s="258"/>
      <c r="F14" s="53" t="s">
        <v>173</v>
      </c>
      <c r="G14" s="54">
        <v>3</v>
      </c>
      <c r="H14" s="173" t="s">
        <v>279</v>
      </c>
    </row>
    <row r="15" spans="1:10" ht="15.75" customHeight="1">
      <c r="E15" s="258"/>
      <c r="F15" s="53" t="s">
        <v>174</v>
      </c>
      <c r="G15" s="54"/>
      <c r="H15" s="173"/>
    </row>
    <row r="16" spans="1:10" ht="15.75" customHeight="1">
      <c r="E16" s="258"/>
      <c r="F16" s="53" t="s">
        <v>175</v>
      </c>
      <c r="G16" s="54">
        <v>2</v>
      </c>
      <c r="H16" s="173" t="s">
        <v>280</v>
      </c>
    </row>
    <row r="17" spans="1:12" ht="15.75" customHeight="1">
      <c r="E17" s="258"/>
      <c r="F17" s="53" t="s">
        <v>176</v>
      </c>
      <c r="G17" s="54"/>
      <c r="H17" s="171"/>
    </row>
    <row r="18" spans="1:12" ht="15.75" customHeight="1">
      <c r="E18" s="258"/>
      <c r="F18" s="53" t="s">
        <v>177</v>
      </c>
      <c r="G18" s="54">
        <v>3</v>
      </c>
      <c r="H18" s="172" t="s">
        <v>281</v>
      </c>
    </row>
    <row r="19" spans="1:12" ht="15.75" customHeight="1">
      <c r="E19" s="258"/>
      <c r="F19" s="53" t="s">
        <v>178</v>
      </c>
      <c r="G19" s="54">
        <v>2</v>
      </c>
      <c r="H19" s="172"/>
      <c r="I19" s="174"/>
    </row>
    <row r="20" spans="1:12" ht="15.75" customHeight="1">
      <c r="E20" s="258"/>
      <c r="F20" s="53" t="s">
        <v>179</v>
      </c>
      <c r="G20" s="54"/>
      <c r="H20" s="53"/>
    </row>
    <row r="21" spans="1:12" ht="15.75" customHeight="1">
      <c r="E21" s="262"/>
      <c r="F21" s="53" t="s">
        <v>36</v>
      </c>
      <c r="G21" s="54"/>
      <c r="H21" s="53"/>
      <c r="I21" s="219" t="s">
        <v>276</v>
      </c>
      <c r="J21" s="219" t="s">
        <v>277</v>
      </c>
    </row>
    <row r="22" spans="1:12" ht="27.75" customHeight="1">
      <c r="E22" s="48" t="s">
        <v>49</v>
      </c>
      <c r="F22" s="53"/>
      <c r="G22" s="49">
        <f>SUM(G3:G21)</f>
        <v>150</v>
      </c>
      <c r="H22" s="62"/>
      <c r="I22">
        <v>202511</v>
      </c>
      <c r="J22" s="218">
        <f>G22*J6/销量!S16</f>
        <v>7.5</v>
      </c>
    </row>
    <row r="23" spans="1:12" ht="30.75" customHeight="1">
      <c r="E23" s="253" t="s">
        <v>180</v>
      </c>
      <c r="F23" s="253"/>
      <c r="G23" s="253"/>
      <c r="H23" s="253"/>
    </row>
    <row r="25" spans="1:12" ht="24.75" customHeight="1">
      <c r="A25" s="63" t="s">
        <v>1</v>
      </c>
      <c r="B25" s="63" t="s">
        <v>149</v>
      </c>
      <c r="C25" s="63" t="s">
        <v>181</v>
      </c>
      <c r="D25" s="64" t="s">
        <v>284</v>
      </c>
      <c r="E25" s="64" t="s">
        <v>48</v>
      </c>
      <c r="F25" s="64" t="s">
        <v>182</v>
      </c>
      <c r="G25" s="64" t="s">
        <v>183</v>
      </c>
      <c r="H25" s="64" t="s">
        <v>184</v>
      </c>
      <c r="I25" s="64" t="s">
        <v>254</v>
      </c>
      <c r="J25" s="64" t="s">
        <v>285</v>
      </c>
      <c r="K25" s="64" t="s">
        <v>49</v>
      </c>
      <c r="L25" s="69" t="s">
        <v>185</v>
      </c>
    </row>
    <row r="26" spans="1:12" ht="16.5">
      <c r="A26" s="65" t="s">
        <v>145</v>
      </c>
      <c r="B26" s="66">
        <f>(B5+B8)*10000</f>
        <v>1400000</v>
      </c>
      <c r="C26" s="67">
        <v>0.05</v>
      </c>
      <c r="D26" s="68">
        <f>B26*(1-C26)/5</f>
        <v>266000</v>
      </c>
      <c r="E26" s="68">
        <f t="shared" ref="E26:F26" si="0">D26</f>
        <v>266000</v>
      </c>
      <c r="F26" s="68">
        <f t="shared" si="0"/>
        <v>266000</v>
      </c>
      <c r="G26" s="68">
        <f t="shared" ref="G26:H27" si="1">F26</f>
        <v>266000</v>
      </c>
      <c r="H26" s="68">
        <f t="shared" si="1"/>
        <v>266000</v>
      </c>
      <c r="I26" s="68"/>
      <c r="J26" s="68"/>
      <c r="K26" s="68">
        <f>SUM(D26:J26)</f>
        <v>1330000</v>
      </c>
      <c r="L26" s="68">
        <f>B26*0.05</f>
        <v>70000</v>
      </c>
    </row>
    <row r="27" spans="1:12" ht="16.5">
      <c r="A27" s="65" t="s">
        <v>186</v>
      </c>
      <c r="B27" s="66">
        <f>B9*10000</f>
        <v>100000</v>
      </c>
      <c r="C27" s="68"/>
      <c r="D27" s="68">
        <f>B27/5</f>
        <v>20000</v>
      </c>
      <c r="E27" s="68">
        <f t="shared" ref="E27:F27" si="2">D27</f>
        <v>20000</v>
      </c>
      <c r="F27" s="68">
        <f t="shared" si="2"/>
        <v>20000</v>
      </c>
      <c r="G27" s="68">
        <f t="shared" si="1"/>
        <v>20000</v>
      </c>
      <c r="H27" s="68">
        <f t="shared" si="1"/>
        <v>20000</v>
      </c>
      <c r="I27" s="68"/>
      <c r="J27" s="68"/>
      <c r="K27" s="68">
        <f>SUM(D27:J27)</f>
        <v>100000</v>
      </c>
      <c r="L27" s="68"/>
    </row>
    <row r="28" spans="1:12" ht="26.25" customHeight="1">
      <c r="A28" s="254" t="s">
        <v>137</v>
      </c>
      <c r="B28" s="255"/>
      <c r="C28" s="256"/>
      <c r="D28" s="68">
        <f>SUM(D26:D27)</f>
        <v>286000</v>
      </c>
      <c r="E28" s="68">
        <f t="shared" ref="E28:K28" si="3">SUM(E26:E27)</f>
        <v>286000</v>
      </c>
      <c r="F28" s="68">
        <f t="shared" si="3"/>
        <v>286000</v>
      </c>
      <c r="G28" s="68">
        <f t="shared" si="3"/>
        <v>286000</v>
      </c>
      <c r="H28" s="68">
        <f t="shared" si="3"/>
        <v>286000</v>
      </c>
      <c r="I28" s="68">
        <f t="shared" si="3"/>
        <v>0</v>
      </c>
      <c r="J28" s="68">
        <f t="shared" si="3"/>
        <v>0</v>
      </c>
      <c r="K28" s="68">
        <f t="shared" si="3"/>
        <v>1430000</v>
      </c>
      <c r="L28" s="70"/>
    </row>
    <row r="41" ht="37.5" customHeight="1"/>
  </sheetData>
  <mergeCells count="7">
    <mergeCell ref="A1:C1"/>
    <mergeCell ref="E1:H1"/>
    <mergeCell ref="E23:H23"/>
    <mergeCell ref="A28:C28"/>
    <mergeCell ref="E3:E4"/>
    <mergeCell ref="E5:E12"/>
    <mergeCell ref="E13:E21"/>
  </mergeCells>
  <phoneticPr fontId="45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命名范围</vt:lpstr>
      </vt:variant>
      <vt:variant>
        <vt:i4>4</vt:i4>
      </vt:variant>
    </vt:vector>
  </HeadingPairs>
  <TitlesOfParts>
    <vt:vector size="17" baseType="lpstr">
      <vt:lpstr>假设条件</vt:lpstr>
      <vt:lpstr>现金</vt:lpstr>
      <vt:lpstr>损益表</vt:lpstr>
      <vt:lpstr>2026年</vt:lpstr>
      <vt:lpstr>2027年</vt:lpstr>
      <vt:lpstr>2028年</vt:lpstr>
      <vt:lpstr>2029年</vt:lpstr>
      <vt:lpstr>2030年</vt:lpstr>
      <vt:lpstr>项目投资</vt:lpstr>
      <vt:lpstr>销量</vt:lpstr>
      <vt:lpstr>材料成本</vt:lpstr>
      <vt:lpstr>其他</vt:lpstr>
      <vt:lpstr>标准成本</vt:lpstr>
      <vt:lpstr>'2027年'!Print_Area</vt:lpstr>
      <vt:lpstr>'2028年'!Print_Area</vt:lpstr>
      <vt:lpstr>'2029年'!Print_Area</vt:lpstr>
      <vt:lpstr>项目投资!Print_Area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ghrc</dc:creator>
  <cp:lastModifiedBy>ghrc</cp:lastModifiedBy>
  <dcterms:created xsi:type="dcterms:W3CDTF">2006-09-13T11:21:00Z</dcterms:created>
  <dcterms:modified xsi:type="dcterms:W3CDTF">2025-11-25T02:43:55Z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9545D4B7266740A89BCEAE7E60B7E103</vt:lpwstr>
  </property>
</Properties>
</file>